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eathers\AppData\Roaming\OpenText\OTEdit\EC_Cera\c246773988\"/>
    </mc:Choice>
  </mc:AlternateContent>
  <bookViews>
    <workbookView xWindow="0" yWindow="0" windowWidth="28800" windowHeight="12300"/>
  </bookViews>
  <sheets>
    <sheet name="Reg Graph" sheetId="2" r:id="rId1"/>
    <sheet name="Reg Ex"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331" i="3" l="1"/>
  <c r="C97" i="2" l="1"/>
  <c r="J103" i="3" l="1"/>
  <c r="C94" i="2"/>
  <c r="T353" i="3" l="1"/>
  <c r="M353" i="3"/>
  <c r="F353" i="3"/>
  <c r="T351" i="3"/>
  <c r="M351" i="3"/>
  <c r="F351" i="3"/>
  <c r="C351" i="3"/>
  <c r="R311" i="3" s="1"/>
  <c r="T349" i="3"/>
  <c r="M349" i="3"/>
  <c r="F349" i="3"/>
  <c r="X348" i="3"/>
  <c r="Q348" i="3"/>
  <c r="AF342" i="3" s="1"/>
  <c r="J348" i="3"/>
  <c r="C348" i="3"/>
  <c r="X347" i="3"/>
  <c r="Q347" i="3"/>
  <c r="AF341" i="3" s="1"/>
  <c r="J347" i="3"/>
  <c r="T346" i="3"/>
  <c r="M346" i="3"/>
  <c r="F346" i="3"/>
  <c r="X342" i="3"/>
  <c r="T342" i="3"/>
  <c r="Q342" i="3"/>
  <c r="J342" i="3"/>
  <c r="F342" i="3"/>
  <c r="X341" i="3"/>
  <c r="Q341" i="3"/>
  <c r="AE326" i="3" s="1"/>
  <c r="J341" i="3"/>
  <c r="AB340" i="3"/>
  <c r="T340" i="3"/>
  <c r="M340" i="3"/>
  <c r="F340" i="3"/>
  <c r="T338" i="3"/>
  <c r="M338" i="3"/>
  <c r="F338" i="3"/>
  <c r="AA332" i="3"/>
  <c r="T332" i="3"/>
  <c r="M332" i="3"/>
  <c r="F332" i="3"/>
  <c r="F330" i="3"/>
  <c r="F328" i="3"/>
  <c r="J327" i="3"/>
  <c r="J326" i="3"/>
  <c r="F325" i="3"/>
  <c r="X324" i="3"/>
  <c r="Q324" i="3"/>
  <c r="F324" i="3"/>
  <c r="J323" i="3"/>
  <c r="AD318" i="3"/>
  <c r="AF318" i="3" s="1"/>
  <c r="W318" i="3"/>
  <c r="Y318" i="3" s="1"/>
  <c r="Q318" i="3"/>
  <c r="S318" i="3" s="1"/>
  <c r="P318" i="3"/>
  <c r="R318" i="3" s="1"/>
  <c r="J318" i="3"/>
  <c r="I318" i="3"/>
  <c r="K318" i="3" s="1"/>
  <c r="E318" i="3"/>
  <c r="C318" i="3"/>
  <c r="B318" i="3"/>
  <c r="D318" i="3" s="1"/>
  <c r="S317" i="3"/>
  <c r="Q317" i="3"/>
  <c r="P317" i="3"/>
  <c r="R317" i="3" s="1"/>
  <c r="L317" i="3"/>
  <c r="J317" i="3"/>
  <c r="I317" i="3"/>
  <c r="K317" i="3" s="1"/>
  <c r="E317" i="3"/>
  <c r="C317" i="3"/>
  <c r="B317" i="3"/>
  <c r="D317" i="3" s="1"/>
  <c r="Q316" i="3"/>
  <c r="J316" i="3"/>
  <c r="E316" i="3"/>
  <c r="C316" i="3"/>
  <c r="B316" i="3"/>
  <c r="D316" i="3" s="1"/>
  <c r="AF315" i="3"/>
  <c r="Y315" i="3"/>
  <c r="S315" i="3"/>
  <c r="Q315" i="3"/>
  <c r="P316" i="3" s="1"/>
  <c r="L315" i="3"/>
  <c r="J315" i="3"/>
  <c r="E315" i="3"/>
  <c r="C315" i="3"/>
  <c r="N311" i="3"/>
  <c r="P311" i="3" s="1"/>
  <c r="K311" i="3"/>
  <c r="M311" i="3" s="1"/>
  <c r="H311" i="3"/>
  <c r="J311" i="3" s="1"/>
  <c r="E311" i="3"/>
  <c r="G311" i="3" s="1"/>
  <c r="N310" i="3"/>
  <c r="P310" i="3" s="1"/>
  <c r="K310" i="3"/>
  <c r="M310" i="3" s="1"/>
  <c r="S316" i="3" s="1"/>
  <c r="H310" i="3"/>
  <c r="J310" i="3" s="1"/>
  <c r="L316" i="3" s="1"/>
  <c r="E310" i="3"/>
  <c r="G310" i="3" s="1"/>
  <c r="O309" i="3"/>
  <c r="L309" i="3"/>
  <c r="R315" i="3" s="1"/>
  <c r="K309" i="3"/>
  <c r="M309" i="3" s="1"/>
  <c r="I309" i="3"/>
  <c r="K315" i="3" s="1"/>
  <c r="H309" i="3"/>
  <c r="J309" i="3" s="1"/>
  <c r="F309" i="3"/>
  <c r="D315" i="3" s="1"/>
  <c r="E309" i="3"/>
  <c r="T269" i="3"/>
  <c r="M269" i="3"/>
  <c r="F269" i="3"/>
  <c r="T267" i="3"/>
  <c r="M267" i="3"/>
  <c r="F267" i="3"/>
  <c r="C267" i="3"/>
  <c r="Q227" i="3" s="1"/>
  <c r="S227" i="3" s="1"/>
  <c r="T265" i="3"/>
  <c r="M265" i="3"/>
  <c r="F265" i="3"/>
  <c r="X264" i="3"/>
  <c r="Q264" i="3"/>
  <c r="AF258" i="3" s="1"/>
  <c r="J264" i="3"/>
  <c r="C264" i="3"/>
  <c r="X263" i="3"/>
  <c r="Q263" i="3"/>
  <c r="AF257" i="3" s="1"/>
  <c r="J263" i="3"/>
  <c r="T262" i="3"/>
  <c r="M262" i="3"/>
  <c r="F262" i="3"/>
  <c r="X258" i="3"/>
  <c r="T258" i="3"/>
  <c r="Q258" i="3"/>
  <c r="J258" i="3"/>
  <c r="F258" i="3"/>
  <c r="X257" i="3"/>
  <c r="Q257" i="3"/>
  <c r="AE242" i="3" s="1"/>
  <c r="J257" i="3"/>
  <c r="AB256" i="3"/>
  <c r="T256" i="3"/>
  <c r="M256" i="3"/>
  <c r="F256" i="3"/>
  <c r="T254" i="3"/>
  <c r="M254" i="3"/>
  <c r="F254" i="3"/>
  <c r="AA248" i="3"/>
  <c r="T248" i="3"/>
  <c r="M248" i="3"/>
  <c r="F248" i="3"/>
  <c r="F246" i="3"/>
  <c r="F244" i="3"/>
  <c r="J243" i="3"/>
  <c r="J242" i="3"/>
  <c r="F241" i="3"/>
  <c r="X240" i="3"/>
  <c r="Q240" i="3"/>
  <c r="F240" i="3"/>
  <c r="J239" i="3"/>
  <c r="X253" i="3" s="1"/>
  <c r="AD234" i="3"/>
  <c r="AF234" i="3" s="1"/>
  <c r="W234" i="3"/>
  <c r="Y234" i="3" s="1"/>
  <c r="Q234" i="3"/>
  <c r="P234" i="3"/>
  <c r="R234" i="3" s="1"/>
  <c r="J234" i="3"/>
  <c r="L234" i="3" s="1"/>
  <c r="I234" i="3"/>
  <c r="K234" i="3" s="1"/>
  <c r="E234" i="3"/>
  <c r="C234" i="3"/>
  <c r="B234" i="3"/>
  <c r="D234" i="3" s="1"/>
  <c r="Q233" i="3"/>
  <c r="J233" i="3"/>
  <c r="E233" i="3"/>
  <c r="C233" i="3"/>
  <c r="Q232" i="3"/>
  <c r="P233" i="3" s="1"/>
  <c r="J232" i="3"/>
  <c r="I233" i="3" s="1"/>
  <c r="E232" i="3"/>
  <c r="C232" i="3"/>
  <c r="B233" i="3" s="1"/>
  <c r="AF231" i="3"/>
  <c r="Y231" i="3"/>
  <c r="S231" i="3"/>
  <c r="Q231" i="3"/>
  <c r="P232" i="3" s="1"/>
  <c r="L231" i="3"/>
  <c r="J231" i="3"/>
  <c r="I232" i="3" s="1"/>
  <c r="E231" i="3"/>
  <c r="C231" i="3"/>
  <c r="B232" i="3" s="1"/>
  <c r="N227" i="3"/>
  <c r="P227" i="3" s="1"/>
  <c r="K227" i="3"/>
  <c r="M227" i="3" s="1"/>
  <c r="S233" i="3" s="1"/>
  <c r="H227" i="3"/>
  <c r="J227" i="3" s="1"/>
  <c r="AE234" i="3" s="1"/>
  <c r="E227" i="3"/>
  <c r="G227" i="3" s="1"/>
  <c r="N226" i="3"/>
  <c r="P226" i="3" s="1"/>
  <c r="K226" i="3"/>
  <c r="M226" i="3" s="1"/>
  <c r="S232" i="3" s="1"/>
  <c r="H226" i="3"/>
  <c r="J226" i="3" s="1"/>
  <c r="L232" i="3" s="1"/>
  <c r="E226" i="3"/>
  <c r="G226" i="3" s="1"/>
  <c r="O225" i="3"/>
  <c r="L225" i="3"/>
  <c r="R231" i="3" s="1"/>
  <c r="K225" i="3"/>
  <c r="M225" i="3" s="1"/>
  <c r="I225" i="3"/>
  <c r="K231" i="3" s="1"/>
  <c r="H225" i="3"/>
  <c r="J225" i="3" s="1"/>
  <c r="F225" i="3"/>
  <c r="D231" i="3" s="1"/>
  <c r="E225" i="3"/>
  <c r="E66" i="3"/>
  <c r="G66" i="3" s="1"/>
  <c r="F66" i="3"/>
  <c r="D77" i="3" s="1"/>
  <c r="H66" i="3"/>
  <c r="J66" i="3" s="1"/>
  <c r="I66" i="3"/>
  <c r="K77" i="3" s="1"/>
  <c r="K66" i="3"/>
  <c r="M66" i="3" s="1"/>
  <c r="L66" i="3"/>
  <c r="R77" i="3" s="1"/>
  <c r="O66" i="3"/>
  <c r="E72" i="3"/>
  <c r="G72" i="3" s="1"/>
  <c r="H72" i="3"/>
  <c r="J72" i="3" s="1"/>
  <c r="K72" i="3"/>
  <c r="M72" i="3" s="1"/>
  <c r="N72" i="3"/>
  <c r="P72" i="3" s="1"/>
  <c r="E73" i="3"/>
  <c r="G73" i="3" s="1"/>
  <c r="H73" i="3"/>
  <c r="J73" i="3" s="1"/>
  <c r="L79" i="3" s="1"/>
  <c r="K73" i="3"/>
  <c r="M73" i="3" s="1"/>
  <c r="S79" i="3" s="1"/>
  <c r="N73" i="3"/>
  <c r="P73" i="3" s="1"/>
  <c r="C77" i="3"/>
  <c r="E77" i="3"/>
  <c r="J77" i="3"/>
  <c r="I78" i="3" s="1"/>
  <c r="L77" i="3"/>
  <c r="Q77" i="3"/>
  <c r="P78" i="3" s="1"/>
  <c r="S77" i="3"/>
  <c r="Y77" i="3"/>
  <c r="AF77" i="3"/>
  <c r="B78" i="3"/>
  <c r="D78" i="3" s="1"/>
  <c r="C78" i="3"/>
  <c r="E78" i="3"/>
  <c r="J78" i="3"/>
  <c r="I79" i="3" s="1"/>
  <c r="K79" i="3" s="1"/>
  <c r="L78" i="3"/>
  <c r="Q78" i="3"/>
  <c r="S78" i="3"/>
  <c r="B79" i="3"/>
  <c r="D79" i="3" s="1"/>
  <c r="C79" i="3"/>
  <c r="E79" i="3"/>
  <c r="J79" i="3"/>
  <c r="Q79" i="3"/>
  <c r="B80" i="3"/>
  <c r="D80" i="3" s="1"/>
  <c r="C80" i="3"/>
  <c r="E80" i="3"/>
  <c r="I80" i="3"/>
  <c r="K80" i="3" s="1"/>
  <c r="J80" i="3"/>
  <c r="L80" i="3" s="1"/>
  <c r="P80" i="3"/>
  <c r="R80" i="3" s="1"/>
  <c r="Q80" i="3"/>
  <c r="S80" i="3" s="1"/>
  <c r="W80" i="3"/>
  <c r="Y80" i="3" s="1"/>
  <c r="J85" i="3"/>
  <c r="AE86" i="3" s="1"/>
  <c r="F86" i="3"/>
  <c r="Q86" i="3"/>
  <c r="X86" i="3"/>
  <c r="F87" i="3"/>
  <c r="J88" i="3"/>
  <c r="J89" i="3"/>
  <c r="F90" i="3"/>
  <c r="F92" i="3"/>
  <c r="F94" i="3"/>
  <c r="AA94" i="3"/>
  <c r="F100" i="3"/>
  <c r="M100" i="3"/>
  <c r="T100" i="3"/>
  <c r="F102" i="3"/>
  <c r="M102" i="3"/>
  <c r="T102" i="3"/>
  <c r="AB102" i="3"/>
  <c r="Q103" i="3"/>
  <c r="AE88" i="3" s="1"/>
  <c r="X103" i="3"/>
  <c r="F104" i="3"/>
  <c r="J104" i="3"/>
  <c r="Q104" i="3"/>
  <c r="T104" i="3"/>
  <c r="X104" i="3"/>
  <c r="F108" i="3"/>
  <c r="M108" i="3"/>
  <c r="T108" i="3"/>
  <c r="J109" i="3"/>
  <c r="Q109" i="3"/>
  <c r="AF103" i="3" s="1"/>
  <c r="X109" i="3"/>
  <c r="C110" i="3"/>
  <c r="J110" i="3"/>
  <c r="Q110" i="3"/>
  <c r="AF104" i="3" s="1"/>
  <c r="X110" i="3"/>
  <c r="F111" i="3"/>
  <c r="M111" i="3"/>
  <c r="T111" i="3"/>
  <c r="C113" i="3"/>
  <c r="Q66" i="3" s="1"/>
  <c r="S66" i="3" s="1"/>
  <c r="F113" i="3"/>
  <c r="M113" i="3"/>
  <c r="T113" i="3"/>
  <c r="F115" i="3"/>
  <c r="M115" i="3"/>
  <c r="T115" i="3"/>
  <c r="E140" i="3"/>
  <c r="G140" i="3" s="1"/>
  <c r="F140" i="3"/>
  <c r="D146" i="3" s="1"/>
  <c r="H140" i="3"/>
  <c r="J140" i="3" s="1"/>
  <c r="I140" i="3"/>
  <c r="K146" i="3" s="1"/>
  <c r="K140" i="3"/>
  <c r="M140" i="3" s="1"/>
  <c r="L140" i="3"/>
  <c r="R146" i="3" s="1"/>
  <c r="O140" i="3"/>
  <c r="E141" i="3"/>
  <c r="G141" i="3" s="1"/>
  <c r="H141" i="3"/>
  <c r="J141" i="3" s="1"/>
  <c r="L147" i="3" s="1"/>
  <c r="K141" i="3"/>
  <c r="M141" i="3" s="1"/>
  <c r="S147" i="3" s="1"/>
  <c r="N141" i="3"/>
  <c r="P141" i="3" s="1"/>
  <c r="E142" i="3"/>
  <c r="G142" i="3" s="1"/>
  <c r="H142" i="3"/>
  <c r="J142" i="3" s="1"/>
  <c r="AE148" i="3" s="1"/>
  <c r="AG148" i="3" s="1"/>
  <c r="K142" i="3"/>
  <c r="M142" i="3" s="1"/>
  <c r="N142" i="3"/>
  <c r="P142" i="3" s="1"/>
  <c r="C146" i="3"/>
  <c r="E146" i="3"/>
  <c r="J146" i="3"/>
  <c r="I147" i="3" s="1"/>
  <c r="L146" i="3"/>
  <c r="Q146" i="3"/>
  <c r="P147" i="3" s="1"/>
  <c r="S146" i="3"/>
  <c r="Y146" i="3"/>
  <c r="AF146" i="3"/>
  <c r="B147" i="3"/>
  <c r="D147" i="3" s="1"/>
  <c r="C147" i="3"/>
  <c r="E147" i="3"/>
  <c r="J147" i="3"/>
  <c r="Q147" i="3"/>
  <c r="B148" i="3"/>
  <c r="D148" i="3" s="1"/>
  <c r="C148" i="3"/>
  <c r="E148" i="3"/>
  <c r="I148" i="3"/>
  <c r="K148" i="3" s="1"/>
  <c r="J148" i="3"/>
  <c r="L148" i="3"/>
  <c r="P148" i="3"/>
  <c r="R148" i="3" s="1"/>
  <c r="Q148" i="3"/>
  <c r="S148" i="3"/>
  <c r="B149" i="3"/>
  <c r="D149" i="3" s="1"/>
  <c r="C149" i="3"/>
  <c r="E149" i="3"/>
  <c r="I149" i="3"/>
  <c r="K149" i="3" s="1"/>
  <c r="J149" i="3"/>
  <c r="L149" i="3" s="1"/>
  <c r="P149" i="3"/>
  <c r="R149" i="3" s="1"/>
  <c r="Q149" i="3"/>
  <c r="S149" i="3" s="1"/>
  <c r="W149" i="3"/>
  <c r="Y149" i="3" s="1"/>
  <c r="AD149" i="3"/>
  <c r="AF149" i="3" s="1"/>
  <c r="J154" i="3"/>
  <c r="AE155" i="3" s="1"/>
  <c r="F155" i="3"/>
  <c r="Q155" i="3"/>
  <c r="X155" i="3"/>
  <c r="F156" i="3"/>
  <c r="J157" i="3"/>
  <c r="J158" i="3"/>
  <c r="F159" i="3"/>
  <c r="F161" i="3"/>
  <c r="F163" i="3"/>
  <c r="AA163" i="3"/>
  <c r="F169" i="3"/>
  <c r="M169" i="3"/>
  <c r="T169" i="3"/>
  <c r="F171" i="3"/>
  <c r="M171" i="3"/>
  <c r="T171" i="3"/>
  <c r="AB171" i="3"/>
  <c r="J172" i="3"/>
  <c r="Q172" i="3"/>
  <c r="X172" i="3"/>
  <c r="F173" i="3"/>
  <c r="J173" i="3"/>
  <c r="Q173" i="3"/>
  <c r="T173" i="3"/>
  <c r="X173" i="3"/>
  <c r="F177" i="3"/>
  <c r="M177" i="3"/>
  <c r="T177" i="3"/>
  <c r="J178" i="3"/>
  <c r="Q178" i="3"/>
  <c r="AF172" i="3" s="1"/>
  <c r="X178" i="3"/>
  <c r="C179" i="3"/>
  <c r="J179" i="3"/>
  <c r="Q179" i="3"/>
  <c r="AF173" i="3" s="1"/>
  <c r="X179" i="3"/>
  <c r="F180" i="3"/>
  <c r="M180" i="3"/>
  <c r="T180" i="3"/>
  <c r="C182" i="3"/>
  <c r="Q140" i="3" s="1"/>
  <c r="S140" i="3" s="1"/>
  <c r="F182" i="3"/>
  <c r="M182" i="3"/>
  <c r="T182" i="3"/>
  <c r="F184" i="3"/>
  <c r="M184" i="3"/>
  <c r="T184" i="3"/>
  <c r="E66" i="2"/>
  <c r="L66" i="2"/>
  <c r="C69" i="2"/>
  <c r="E69" i="2" s="1"/>
  <c r="J69" i="2"/>
  <c r="L69" i="2" s="1"/>
  <c r="J84" i="2"/>
  <c r="E85" i="2"/>
  <c r="F86" i="2"/>
  <c r="J60" i="2"/>
  <c r="J97" i="2"/>
  <c r="J98" i="2"/>
  <c r="E171" i="2"/>
  <c r="L171" i="2"/>
  <c r="C174" i="2"/>
  <c r="E174" i="2"/>
  <c r="J174" i="2"/>
  <c r="L174" i="2" s="1"/>
  <c r="J189" i="2"/>
  <c r="E190" i="2"/>
  <c r="C199" i="2"/>
  <c r="C202" i="2"/>
  <c r="F166" i="2" s="1"/>
  <c r="H166" i="2" s="1"/>
  <c r="J202" i="2"/>
  <c r="J203" i="2"/>
  <c r="V309" i="3" l="1"/>
  <c r="X309" i="3" s="1"/>
  <c r="Q311" i="3"/>
  <c r="S311" i="3" s="1"/>
  <c r="Q309" i="3"/>
  <c r="S309" i="3" s="1"/>
  <c r="U311" i="3"/>
  <c r="W311" i="3" s="1"/>
  <c r="Q310" i="3"/>
  <c r="S310" i="3" s="1"/>
  <c r="R310" i="3"/>
  <c r="T310" i="3" s="1"/>
  <c r="U310" i="3"/>
  <c r="W310" i="3" s="1"/>
  <c r="E166" i="2"/>
  <c r="G166" i="2" s="1"/>
  <c r="C185" i="2"/>
  <c r="R147" i="3"/>
  <c r="T147" i="3" s="1"/>
  <c r="AE157" i="3"/>
  <c r="R232" i="3"/>
  <c r="T232" i="3" s="1"/>
  <c r="M148" i="3"/>
  <c r="R227" i="3"/>
  <c r="X234" i="3" s="1"/>
  <c r="U227" i="3"/>
  <c r="W227" i="3" s="1"/>
  <c r="X168" i="3"/>
  <c r="X181" i="3" s="1"/>
  <c r="U225" i="3"/>
  <c r="W225" i="3" s="1"/>
  <c r="N309" i="3"/>
  <c r="P309" i="3" s="1"/>
  <c r="F78" i="3"/>
  <c r="C203" i="2"/>
  <c r="F205" i="2" s="1"/>
  <c r="I167" i="2"/>
  <c r="K167" i="2" s="1"/>
  <c r="F167" i="2"/>
  <c r="H167" i="2" s="1"/>
  <c r="J165" i="2"/>
  <c r="L165" i="2" s="1"/>
  <c r="X99" i="3"/>
  <c r="X112" i="3" s="1"/>
  <c r="F147" i="3"/>
  <c r="M80" i="3"/>
  <c r="Q168" i="3"/>
  <c r="M149" i="3"/>
  <c r="N225" i="3"/>
  <c r="P225" i="3" s="1"/>
  <c r="F77" i="3"/>
  <c r="N140" i="3"/>
  <c r="P140" i="3" s="1"/>
  <c r="M79" i="3"/>
  <c r="F231" i="3"/>
  <c r="Q99" i="3"/>
  <c r="AE149" i="3"/>
  <c r="AG149" i="3" s="1"/>
  <c r="F148" i="3"/>
  <c r="AE315" i="3"/>
  <c r="T146" i="3"/>
  <c r="K233" i="3"/>
  <c r="R78" i="3"/>
  <c r="T78" i="3" s="1"/>
  <c r="U309" i="3"/>
  <c r="W309" i="3" s="1"/>
  <c r="F316" i="3"/>
  <c r="V227" i="3"/>
  <c r="X227" i="3" s="1"/>
  <c r="R316" i="3"/>
  <c r="T316" i="3" s="1"/>
  <c r="M77" i="3"/>
  <c r="G225" i="3"/>
  <c r="D233" i="3"/>
  <c r="F233" i="3" s="1"/>
  <c r="AD80" i="3"/>
  <c r="AF80" i="3" s="1"/>
  <c r="M146" i="3"/>
  <c r="F79" i="3"/>
  <c r="V73" i="3"/>
  <c r="Q226" i="3"/>
  <c r="S226" i="3" s="1"/>
  <c r="U66" i="3"/>
  <c r="R226" i="3"/>
  <c r="T226" i="3" s="1"/>
  <c r="T149" i="3"/>
  <c r="F149" i="3"/>
  <c r="V142" i="3"/>
  <c r="X142" i="3" s="1"/>
  <c r="T80" i="3"/>
  <c r="F80" i="3"/>
  <c r="V72" i="3"/>
  <c r="X72" i="3" s="1"/>
  <c r="T317" i="3"/>
  <c r="U140" i="3"/>
  <c r="W140" i="3" s="1"/>
  <c r="T77" i="3"/>
  <c r="R73" i="3"/>
  <c r="U72" i="3"/>
  <c r="W72" i="3" s="1"/>
  <c r="R66" i="3"/>
  <c r="T66" i="3" s="1"/>
  <c r="V141" i="3"/>
  <c r="X141" i="3" s="1"/>
  <c r="Q73" i="3"/>
  <c r="S73" i="3" s="1"/>
  <c r="Q72" i="3"/>
  <c r="S72" i="3" s="1"/>
  <c r="F234" i="3"/>
  <c r="R142" i="3"/>
  <c r="U141" i="3"/>
  <c r="W141" i="3" s="1"/>
  <c r="R140" i="3"/>
  <c r="F318" i="3"/>
  <c r="Q142" i="3"/>
  <c r="S142" i="3" s="1"/>
  <c r="Q141" i="3"/>
  <c r="S141" i="3" s="1"/>
  <c r="N66" i="3"/>
  <c r="P66" i="3" s="1"/>
  <c r="R225" i="3"/>
  <c r="X231" i="3" s="1"/>
  <c r="Z231" i="3" s="1"/>
  <c r="AA231" i="3" s="1"/>
  <c r="F315" i="3"/>
  <c r="F317" i="3"/>
  <c r="T311" i="3"/>
  <c r="X318" i="3"/>
  <c r="M315" i="3"/>
  <c r="AE318" i="3"/>
  <c r="AE317" i="3"/>
  <c r="M317" i="3"/>
  <c r="T318" i="3"/>
  <c r="AE324" i="3"/>
  <c r="J337" i="3"/>
  <c r="R309" i="3"/>
  <c r="V311" i="3"/>
  <c r="X311" i="3" s="1"/>
  <c r="Q337" i="3"/>
  <c r="G309" i="3"/>
  <c r="X337" i="3"/>
  <c r="X350" i="3" s="1"/>
  <c r="T315" i="3"/>
  <c r="I316" i="3"/>
  <c r="K316" i="3" s="1"/>
  <c r="V310" i="3"/>
  <c r="X310" i="3" s="1"/>
  <c r="L318" i="3"/>
  <c r="M318" i="3" s="1"/>
  <c r="L233" i="3"/>
  <c r="T231" i="3"/>
  <c r="S234" i="3"/>
  <c r="T234" i="3" s="1"/>
  <c r="U226" i="3"/>
  <c r="W226" i="3" s="1"/>
  <c r="V225" i="3"/>
  <c r="V226" i="3"/>
  <c r="X226" i="3" s="1"/>
  <c r="Q225" i="3"/>
  <c r="S225" i="3" s="1"/>
  <c r="D232" i="3"/>
  <c r="F232" i="3" s="1"/>
  <c r="X266" i="3"/>
  <c r="K232" i="3"/>
  <c r="M232" i="3" s="1"/>
  <c r="Z234" i="3"/>
  <c r="AA234" i="3" s="1"/>
  <c r="T227" i="3"/>
  <c r="M234" i="3"/>
  <c r="AE240" i="3"/>
  <c r="J253" i="3"/>
  <c r="R233" i="3"/>
  <c r="T233" i="3" s="1"/>
  <c r="AG234" i="3"/>
  <c r="AH234" i="3" s="1"/>
  <c r="Q253" i="3"/>
  <c r="M231" i="3"/>
  <c r="K78" i="3"/>
  <c r="M78" i="3"/>
  <c r="K147" i="3"/>
  <c r="M147" i="3" s="1"/>
  <c r="F146" i="3"/>
  <c r="R141" i="3"/>
  <c r="T141" i="3" s="1"/>
  <c r="V140" i="3"/>
  <c r="R72" i="3"/>
  <c r="T72" i="3" s="1"/>
  <c r="V66" i="3"/>
  <c r="P79" i="3"/>
  <c r="T148" i="3"/>
  <c r="J168" i="3"/>
  <c r="U142" i="3"/>
  <c r="W142" i="3" s="1"/>
  <c r="J99" i="3"/>
  <c r="U73" i="3"/>
  <c r="W73" i="3" s="1"/>
  <c r="L60" i="2"/>
  <c r="E62" i="2"/>
  <c r="G62" i="2" s="1"/>
  <c r="K171" i="2"/>
  <c r="I165" i="2"/>
  <c r="K165" i="2" s="1"/>
  <c r="J61" i="2"/>
  <c r="L61" i="2" s="1"/>
  <c r="F60" i="2"/>
  <c r="I61" i="2"/>
  <c r="K61" i="2" s="1"/>
  <c r="E60" i="2"/>
  <c r="G60" i="2" s="1"/>
  <c r="J166" i="2"/>
  <c r="L166" i="2" s="1"/>
  <c r="F165" i="2"/>
  <c r="E165" i="2"/>
  <c r="G165" i="2" s="1"/>
  <c r="I166" i="2"/>
  <c r="K166" i="2" s="1"/>
  <c r="I60" i="2"/>
  <c r="E167" i="2"/>
  <c r="G167" i="2" s="1"/>
  <c r="D171" i="2"/>
  <c r="J62" i="2"/>
  <c r="F61" i="2"/>
  <c r="H61" i="2" s="1"/>
  <c r="I62" i="2"/>
  <c r="K62" i="2" s="1"/>
  <c r="E61" i="2"/>
  <c r="G61" i="2" s="1"/>
  <c r="J167" i="2"/>
  <c r="C98" i="2"/>
  <c r="C80" i="2"/>
  <c r="F62" i="2"/>
  <c r="F196" i="2" l="1"/>
  <c r="F182" i="2"/>
  <c r="F191" i="2"/>
  <c r="K68" i="2"/>
  <c r="AH149" i="3"/>
  <c r="F150" i="3"/>
  <c r="J156" i="3" s="1"/>
  <c r="J160" i="3" s="1"/>
  <c r="J162" i="3" s="1"/>
  <c r="Q170" i="3" s="1"/>
  <c r="T225" i="3"/>
  <c r="D174" i="2"/>
  <c r="F174" i="2" s="1"/>
  <c r="G174" i="2" s="1"/>
  <c r="F319" i="3"/>
  <c r="J325" i="3" s="1"/>
  <c r="J329" i="3" s="1"/>
  <c r="J331" i="3" s="1"/>
  <c r="Q339" i="3" s="1"/>
  <c r="F81" i="3"/>
  <c r="J87" i="3" s="1"/>
  <c r="J91" i="3" s="1"/>
  <c r="J93" i="3" s="1"/>
  <c r="Q101" i="3" s="1"/>
  <c r="AD316" i="3"/>
  <c r="AE316" i="3" s="1"/>
  <c r="X233" i="3"/>
  <c r="Z233" i="3" s="1"/>
  <c r="M81" i="3"/>
  <c r="Q108" i="3" s="1"/>
  <c r="AF102" i="3" s="1"/>
  <c r="AE233" i="3"/>
  <c r="AG233" i="3" s="1"/>
  <c r="M316" i="3"/>
  <c r="M319" i="3" s="1"/>
  <c r="Q346" i="3" s="1"/>
  <c r="AF340" i="3" s="1"/>
  <c r="M233" i="3"/>
  <c r="M235" i="3" s="1"/>
  <c r="Q262" i="3" s="1"/>
  <c r="AF256" i="3" s="1"/>
  <c r="AG315" i="3"/>
  <c r="AH315" i="3" s="1"/>
  <c r="F235" i="3"/>
  <c r="J241" i="3" s="1"/>
  <c r="J245" i="3" s="1"/>
  <c r="J247" i="3" s="1"/>
  <c r="Q255" i="3" s="1"/>
  <c r="X73" i="3"/>
  <c r="AE80" i="3"/>
  <c r="T140" i="3"/>
  <c r="X146" i="3"/>
  <c r="W66" i="3"/>
  <c r="X77" i="3"/>
  <c r="X149" i="3"/>
  <c r="Z149" i="3" s="1"/>
  <c r="AA149" i="3" s="1"/>
  <c r="T142" i="3"/>
  <c r="T150" i="3"/>
  <c r="J177" i="3" s="1"/>
  <c r="X80" i="3"/>
  <c r="T73" i="3"/>
  <c r="W232" i="3"/>
  <c r="X232" i="3" s="1"/>
  <c r="M150" i="3"/>
  <c r="Q177" i="3" s="1"/>
  <c r="X317" i="3"/>
  <c r="X315" i="3"/>
  <c r="T309" i="3"/>
  <c r="Z318" i="3"/>
  <c r="AA318" i="3" s="1"/>
  <c r="AG317" i="3"/>
  <c r="AG318" i="3"/>
  <c r="AH318" i="3" s="1"/>
  <c r="T319" i="3"/>
  <c r="J346" i="3" s="1"/>
  <c r="T235" i="3"/>
  <c r="J262" i="3" s="1"/>
  <c r="X225" i="3"/>
  <c r="AE231" i="3"/>
  <c r="R79" i="3"/>
  <c r="T79" i="3" s="1"/>
  <c r="T81" i="3" s="1"/>
  <c r="J108" i="3" s="1"/>
  <c r="AE79" i="3"/>
  <c r="X66" i="3"/>
  <c r="AE77" i="3"/>
  <c r="AE146" i="3"/>
  <c r="X140" i="3"/>
  <c r="X79" i="3"/>
  <c r="X148" i="3"/>
  <c r="K174" i="2"/>
  <c r="L167" i="2"/>
  <c r="M68" i="2"/>
  <c r="K69" i="2"/>
  <c r="L62" i="2"/>
  <c r="D68" i="2"/>
  <c r="H60" i="2"/>
  <c r="D69" i="2"/>
  <c r="H62" i="2"/>
  <c r="F100" i="2"/>
  <c r="F77" i="2"/>
  <c r="F91" i="2"/>
  <c r="K60" i="2"/>
  <c r="K66" i="2"/>
  <c r="D66" i="2"/>
  <c r="D173" i="2"/>
  <c r="H165" i="2"/>
  <c r="C172" i="2"/>
  <c r="E172" i="2" s="1"/>
  <c r="F171" i="2"/>
  <c r="G171" i="2" s="1"/>
  <c r="K173" i="2"/>
  <c r="M171" i="2"/>
  <c r="N171" i="2" s="1"/>
  <c r="J172" i="2"/>
  <c r="L172" i="2" s="1"/>
  <c r="J170" i="3" l="1"/>
  <c r="J339" i="3"/>
  <c r="X170" i="3"/>
  <c r="X183" i="3" s="1"/>
  <c r="X339" i="3"/>
  <c r="X352" i="3" s="1"/>
  <c r="AF171" i="3"/>
  <c r="J101" i="3"/>
  <c r="X101" i="3"/>
  <c r="X114" i="3" s="1"/>
  <c r="AF316" i="3"/>
  <c r="J255" i="3"/>
  <c r="X255" i="3"/>
  <c r="X268" i="3" s="1"/>
  <c r="Y232" i="3"/>
  <c r="AG80" i="3"/>
  <c r="AH80" i="3"/>
  <c r="Z146" i="3"/>
  <c r="AA146" i="3" s="1"/>
  <c r="W78" i="3"/>
  <c r="Z77" i="3"/>
  <c r="AA77" i="3" s="1"/>
  <c r="W147" i="3"/>
  <c r="X147" i="3" s="1"/>
  <c r="Z80" i="3"/>
  <c r="AA80" i="3" s="1"/>
  <c r="Z317" i="3"/>
  <c r="AG316" i="3"/>
  <c r="AH316" i="3" s="1"/>
  <c r="AD317" i="3"/>
  <c r="Z315" i="3"/>
  <c r="AA315" i="3" s="1"/>
  <c r="W316" i="3"/>
  <c r="AG231" i="3"/>
  <c r="AH231" i="3" s="1"/>
  <c r="AD232" i="3"/>
  <c r="Z232" i="3"/>
  <c r="W233" i="3"/>
  <c r="Z148" i="3"/>
  <c r="AG146" i="3"/>
  <c r="AH146" i="3" s="1"/>
  <c r="AD147" i="3"/>
  <c r="Z79" i="3"/>
  <c r="AD78" i="3"/>
  <c r="AG77" i="3"/>
  <c r="AH77" i="3" s="1"/>
  <c r="AG79" i="3"/>
  <c r="M173" i="2"/>
  <c r="D172" i="2"/>
  <c r="F69" i="2"/>
  <c r="G69" i="2" s="1"/>
  <c r="F173" i="2"/>
  <c r="F68" i="2"/>
  <c r="C67" i="2"/>
  <c r="F66" i="2"/>
  <c r="G66" i="2" s="1"/>
  <c r="M66" i="2"/>
  <c r="N66" i="2" s="1"/>
  <c r="J67" i="2"/>
  <c r="M69" i="2"/>
  <c r="N69" i="2" s="1"/>
  <c r="M174" i="2"/>
  <c r="N174" i="2" s="1"/>
  <c r="K172" i="2"/>
  <c r="AA232" i="3" l="1"/>
  <c r="Y147" i="3"/>
  <c r="Y78" i="3"/>
  <c r="X78" i="3"/>
  <c r="Y316" i="3"/>
  <c r="X316" i="3"/>
  <c r="AF317" i="3"/>
  <c r="AH317" i="3" s="1"/>
  <c r="AH319" i="3" s="1"/>
  <c r="X327" i="3" s="1"/>
  <c r="AF232" i="3"/>
  <c r="AE232" i="3"/>
  <c r="Y233" i="3"/>
  <c r="AA233" i="3" s="1"/>
  <c r="AA235" i="3" s="1"/>
  <c r="Q243" i="3" s="1"/>
  <c r="J259" i="3" s="1"/>
  <c r="AE147" i="3"/>
  <c r="AF147" i="3"/>
  <c r="AF78" i="3"/>
  <c r="AE78" i="3"/>
  <c r="W148" i="3"/>
  <c r="Z147" i="3"/>
  <c r="D67" i="2"/>
  <c r="E67" i="2"/>
  <c r="L67" i="2"/>
  <c r="K67" i="2"/>
  <c r="F172" i="2"/>
  <c r="G172" i="2" s="1"/>
  <c r="C173" i="2"/>
  <c r="J173" i="2"/>
  <c r="M172" i="2"/>
  <c r="N172" i="2" s="1"/>
  <c r="AA147" i="3" l="1"/>
  <c r="Z78" i="3"/>
  <c r="AA78" i="3"/>
  <c r="W79" i="3"/>
  <c r="X332" i="3"/>
  <c r="Q343" i="3"/>
  <c r="X329" i="3"/>
  <c r="X331" i="3" s="1"/>
  <c r="AE328" i="3" s="1"/>
  <c r="AF338" i="3" s="1"/>
  <c r="AF344" i="3" s="1"/>
  <c r="W317" i="3"/>
  <c r="Z316" i="3"/>
  <c r="AA316" i="3" s="1"/>
  <c r="AD233" i="3"/>
  <c r="AG232" i="3"/>
  <c r="AH232" i="3" s="1"/>
  <c r="Q248" i="3"/>
  <c r="Q245" i="3"/>
  <c r="Q247" i="3" s="1"/>
  <c r="J266" i="3"/>
  <c r="J268" i="3" s="1"/>
  <c r="Y148" i="3"/>
  <c r="AA148" i="3" s="1"/>
  <c r="AA150" i="3" s="1"/>
  <c r="Q158" i="3" s="1"/>
  <c r="J174" i="3" s="1"/>
  <c r="AG147" i="3"/>
  <c r="AH147" i="3" s="1"/>
  <c r="AD148" i="3"/>
  <c r="AG78" i="3"/>
  <c r="AH78" i="3" s="1"/>
  <c r="AD79" i="3"/>
  <c r="E173" i="2"/>
  <c r="G173" i="2" s="1"/>
  <c r="G175" i="2" s="1"/>
  <c r="J186" i="2" s="1"/>
  <c r="J191" i="2" s="1"/>
  <c r="J184" i="2"/>
  <c r="M67" i="2"/>
  <c r="N67" i="2" s="1"/>
  <c r="J68" i="2"/>
  <c r="J93" i="2" s="1"/>
  <c r="L173" i="2"/>
  <c r="N173" i="2" s="1"/>
  <c r="N175" i="2" s="1"/>
  <c r="J200" i="2" s="1"/>
  <c r="J205" i="2" s="1"/>
  <c r="J198" i="2"/>
  <c r="C68" i="2"/>
  <c r="J79" i="2" s="1"/>
  <c r="F67" i="2"/>
  <c r="G67" i="2" s="1"/>
  <c r="Q350" i="3" l="1"/>
  <c r="Q352" i="3" s="1"/>
  <c r="O358" i="3" s="1"/>
  <c r="Y79" i="3"/>
  <c r="AA79" i="3" s="1"/>
  <c r="AA81" i="3" s="1"/>
  <c r="Q89" i="3" s="1"/>
  <c r="Y317" i="3"/>
  <c r="AA317" i="3" s="1"/>
  <c r="AA319" i="3" s="1"/>
  <c r="Q327" i="3" s="1"/>
  <c r="AF346" i="3"/>
  <c r="AF233" i="3"/>
  <c r="AH233" i="3" s="1"/>
  <c r="AH235" i="3" s="1"/>
  <c r="X243" i="3" s="1"/>
  <c r="J181" i="3"/>
  <c r="J183" i="3" s="1"/>
  <c r="Q160" i="3"/>
  <c r="Q162" i="3" s="1"/>
  <c r="Q163" i="3"/>
  <c r="AF79" i="3"/>
  <c r="AH79" i="3" s="1"/>
  <c r="AH81" i="3" s="1"/>
  <c r="X89" i="3" s="1"/>
  <c r="AF148" i="3"/>
  <c r="AH148" i="3" s="1"/>
  <c r="AH150" i="3" s="1"/>
  <c r="X158" i="3" s="1"/>
  <c r="Q174" i="3" s="1"/>
  <c r="L68" i="2"/>
  <c r="N68" i="2" s="1"/>
  <c r="N70" i="2" s="1"/>
  <c r="J95" i="2" s="1"/>
  <c r="J100" i="2" s="1"/>
  <c r="E68" i="2"/>
  <c r="G68" i="2" s="1"/>
  <c r="G70" i="2" s="1"/>
  <c r="J81" i="2" l="1"/>
  <c r="J86" i="2" s="1"/>
  <c r="Q94" i="3"/>
  <c r="J105" i="3"/>
  <c r="J112" i="3" s="1"/>
  <c r="J114" i="3" s="1"/>
  <c r="Q91" i="3"/>
  <c r="Q93" i="3" s="1"/>
  <c r="Q329" i="3"/>
  <c r="Q331" i="3" s="1"/>
  <c r="Q332" i="3"/>
  <c r="J343" i="3"/>
  <c r="J350" i="3" s="1"/>
  <c r="J352" i="3" s="1"/>
  <c r="M358" i="3" s="1"/>
  <c r="Q259" i="3"/>
  <c r="Q266" i="3" s="1"/>
  <c r="Q268" i="3" s="1"/>
  <c r="X248" i="3"/>
  <c r="X245" i="3"/>
  <c r="X247" i="3" s="1"/>
  <c r="AE244" i="3" s="1"/>
  <c r="AE247" i="3" s="1"/>
  <c r="AF254" i="3" s="1"/>
  <c r="AF260" i="3" s="1"/>
  <c r="X160" i="3"/>
  <c r="X162" i="3" s="1"/>
  <c r="AE159" i="3" s="1"/>
  <c r="AE162" i="3" s="1"/>
  <c r="AF169" i="3" s="1"/>
  <c r="AF175" i="3" s="1"/>
  <c r="Q181" i="3"/>
  <c r="Q183" i="3" s="1"/>
  <c r="O189" i="3" s="1"/>
  <c r="X163" i="3"/>
  <c r="X91" i="3"/>
  <c r="X93" i="3" s="1"/>
  <c r="AE90" i="3" s="1"/>
  <c r="AE93" i="3" s="1"/>
  <c r="AF100" i="3" s="1"/>
  <c r="AF106" i="3" s="1"/>
  <c r="Q105" i="3"/>
  <c r="Q112" i="3" s="1"/>
  <c r="Q114" i="3" s="1"/>
  <c r="X94" i="3"/>
  <c r="AF262" i="3" l="1"/>
  <c r="AF108" i="3"/>
  <c r="M189" i="3"/>
  <c r="O274" i="3"/>
  <c r="M274" i="3"/>
  <c r="O119" i="3"/>
  <c r="M119" i="3"/>
  <c r="AF177" i="3"/>
</calcChain>
</file>

<file path=xl/comments1.xml><?xml version="1.0" encoding="utf-8"?>
<comments xmlns="http://schemas.openxmlformats.org/spreadsheetml/2006/main">
  <authors>
    <author>SMK</author>
    <author>_</author>
  </authors>
  <commentLis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C65" authorId="0" shapeId="0">
      <text>
        <r>
          <rPr>
            <sz val="9"/>
            <color indexed="81"/>
            <rFont val="Tahoma"/>
            <family val="2"/>
          </rPr>
          <t>Offer MW submitted in Markets Gateway</t>
        </r>
      </text>
    </comment>
    <comment ref="D65" authorId="0" shapeId="0">
      <text>
        <r>
          <rPr>
            <sz val="9"/>
            <color indexed="81"/>
            <rFont val="Tahoma"/>
            <family val="2"/>
          </rPr>
          <t>MW of next Segment</t>
        </r>
      </text>
    </comment>
    <comment ref="J65" authorId="0" shapeId="0">
      <text>
        <r>
          <rPr>
            <sz val="9"/>
            <color indexed="81"/>
            <rFont val="Tahoma"/>
            <family val="2"/>
          </rPr>
          <t>Offer MW submitted in Markets Gateway</t>
        </r>
      </text>
    </comment>
    <comment ref="K65" authorId="0" shapeId="0">
      <text>
        <r>
          <rPr>
            <sz val="9"/>
            <color indexed="81"/>
            <rFont val="Tahoma"/>
            <family val="2"/>
          </rPr>
          <t>MW of next Segment</t>
        </r>
      </text>
    </comment>
    <comment ref="A81" authorId="1" shapeId="0">
      <text>
        <r>
          <rPr>
            <sz val="9"/>
            <color indexed="81"/>
            <rFont val="Tahoma"/>
            <charset val="1"/>
          </rPr>
          <t>The output at which the resource would have been operating absent the regulation assignment</t>
        </r>
      </text>
    </comment>
    <comment ref="B164" authorId="0" shapeId="0">
      <text>
        <r>
          <rPr>
            <sz val="9"/>
            <color indexed="81"/>
            <rFont val="Tahoma"/>
            <family val="2"/>
          </rPr>
          <t>Offer MW submitted in Markets Gateway</t>
        </r>
      </text>
    </comment>
    <comment ref="C164" authorId="0" shapeId="0">
      <text>
        <r>
          <rPr>
            <sz val="9"/>
            <color indexed="81"/>
            <rFont val="Tahoma"/>
            <family val="2"/>
          </rPr>
          <t>MW of next Segment</t>
        </r>
      </text>
    </comment>
    <comment ref="C170" authorId="0" shapeId="0">
      <text>
        <r>
          <rPr>
            <sz val="9"/>
            <color indexed="81"/>
            <rFont val="Tahoma"/>
            <family val="2"/>
          </rPr>
          <t>Offer MW submitted in Markets Gateway</t>
        </r>
      </text>
    </comment>
    <comment ref="D170" authorId="0" shapeId="0">
      <text>
        <r>
          <rPr>
            <sz val="9"/>
            <color indexed="81"/>
            <rFont val="Tahoma"/>
            <family val="2"/>
          </rPr>
          <t>MW of next Segment</t>
        </r>
      </text>
    </comment>
    <comment ref="J170" authorId="0" shapeId="0">
      <text>
        <r>
          <rPr>
            <sz val="9"/>
            <color indexed="81"/>
            <rFont val="Tahoma"/>
            <family val="2"/>
          </rPr>
          <t>Offer MW submitted in Markets Gateway</t>
        </r>
      </text>
    </comment>
    <comment ref="K170" authorId="0" shapeId="0">
      <text>
        <r>
          <rPr>
            <sz val="9"/>
            <color indexed="81"/>
            <rFont val="Tahoma"/>
            <family val="2"/>
          </rPr>
          <t>MW of next Segment</t>
        </r>
      </text>
    </comment>
  </commentList>
</comments>
</file>

<file path=xl/comments2.xml><?xml version="1.0" encoding="utf-8"?>
<comments xmlns="http://schemas.openxmlformats.org/spreadsheetml/2006/main">
  <authors>
    <author>SMK</author>
  </authors>
  <commentLis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B76" authorId="0" shapeId="0">
      <text>
        <r>
          <rPr>
            <sz val="9"/>
            <color indexed="81"/>
            <rFont val="Tahoma"/>
            <family val="2"/>
          </rPr>
          <t>Offer MW submitted in Markets Gateway</t>
        </r>
      </text>
    </comment>
    <comment ref="C76" authorId="0" shapeId="0">
      <text>
        <r>
          <rPr>
            <sz val="9"/>
            <color indexed="81"/>
            <rFont val="Tahoma"/>
            <family val="2"/>
          </rPr>
          <t>MW of next Segment</t>
        </r>
      </text>
    </comment>
    <comment ref="I76" authorId="0" shapeId="0">
      <text>
        <r>
          <rPr>
            <sz val="9"/>
            <color indexed="81"/>
            <rFont val="Tahoma"/>
            <family val="2"/>
          </rPr>
          <t>Offer MW submitted in Markets Gateway</t>
        </r>
      </text>
    </comment>
    <comment ref="J76" authorId="0" shapeId="0">
      <text>
        <r>
          <rPr>
            <sz val="9"/>
            <color indexed="81"/>
            <rFont val="Tahoma"/>
            <family val="2"/>
          </rPr>
          <t>MW of next Segment</t>
        </r>
      </text>
    </comment>
    <comment ref="P76" authorId="0" shapeId="0">
      <text>
        <r>
          <rPr>
            <sz val="9"/>
            <color indexed="81"/>
            <rFont val="Tahoma"/>
            <family val="2"/>
          </rPr>
          <t>Offer MW submitted in Markets Gateway</t>
        </r>
      </text>
    </comment>
    <comment ref="Q76" authorId="0" shapeId="0">
      <text>
        <r>
          <rPr>
            <sz val="9"/>
            <color indexed="81"/>
            <rFont val="Tahoma"/>
            <family val="2"/>
          </rPr>
          <t>MW of next Segment</t>
        </r>
      </text>
    </comment>
    <comment ref="W76" authorId="0" shapeId="0">
      <text>
        <r>
          <rPr>
            <sz val="9"/>
            <color indexed="81"/>
            <rFont val="Tahoma"/>
            <family val="2"/>
          </rPr>
          <t>Offer MW submitted in Markets Gateway</t>
        </r>
      </text>
    </comment>
    <comment ref="X76" authorId="0" shapeId="0">
      <text>
        <r>
          <rPr>
            <sz val="9"/>
            <color indexed="81"/>
            <rFont val="Tahoma"/>
            <family val="2"/>
          </rPr>
          <t>MW of next Segment</t>
        </r>
      </text>
    </comment>
    <comment ref="AD76" authorId="0" shapeId="0">
      <text>
        <r>
          <rPr>
            <sz val="9"/>
            <color indexed="81"/>
            <rFont val="Tahoma"/>
            <family val="2"/>
          </rPr>
          <t>Offer MW submitted in Markets Gateway</t>
        </r>
      </text>
    </comment>
    <comment ref="AE76" authorId="0" shapeId="0">
      <text>
        <r>
          <rPr>
            <sz val="9"/>
            <color indexed="81"/>
            <rFont val="Tahoma"/>
            <family val="2"/>
          </rPr>
          <t>MW of next Segment</t>
        </r>
      </text>
    </comment>
    <comment ref="B139" authorId="0" shapeId="0">
      <text>
        <r>
          <rPr>
            <sz val="9"/>
            <color indexed="81"/>
            <rFont val="Tahoma"/>
            <family val="2"/>
          </rPr>
          <t>Offer MW submitted in Markets Gateway</t>
        </r>
      </text>
    </comment>
    <comment ref="C139" authorId="0" shapeId="0">
      <text>
        <r>
          <rPr>
            <sz val="9"/>
            <color indexed="81"/>
            <rFont val="Tahoma"/>
            <family val="2"/>
          </rPr>
          <t>MW of next Segment</t>
        </r>
      </text>
    </comment>
    <comment ref="B145" authorId="0" shapeId="0">
      <text>
        <r>
          <rPr>
            <sz val="9"/>
            <color indexed="81"/>
            <rFont val="Tahoma"/>
            <family val="2"/>
          </rPr>
          <t>Offer MW submitted in Markets Gateway</t>
        </r>
      </text>
    </comment>
    <comment ref="C145" authorId="0" shapeId="0">
      <text>
        <r>
          <rPr>
            <sz val="9"/>
            <color indexed="81"/>
            <rFont val="Tahoma"/>
            <family val="2"/>
          </rPr>
          <t>MW of next Segment</t>
        </r>
      </text>
    </comment>
    <comment ref="I145" authorId="0" shapeId="0">
      <text>
        <r>
          <rPr>
            <sz val="9"/>
            <color indexed="81"/>
            <rFont val="Tahoma"/>
            <family val="2"/>
          </rPr>
          <t>Offer MW submitted in Markets Gateway</t>
        </r>
      </text>
    </comment>
    <comment ref="J145" authorId="0" shapeId="0">
      <text>
        <r>
          <rPr>
            <sz val="9"/>
            <color indexed="81"/>
            <rFont val="Tahoma"/>
            <family val="2"/>
          </rPr>
          <t>MW of next Segment</t>
        </r>
      </text>
    </comment>
    <comment ref="P145" authorId="0" shapeId="0">
      <text>
        <r>
          <rPr>
            <sz val="9"/>
            <color indexed="81"/>
            <rFont val="Tahoma"/>
            <family val="2"/>
          </rPr>
          <t>Offer MW submitted in Markets Gateway</t>
        </r>
      </text>
    </comment>
    <comment ref="Q145" authorId="0" shapeId="0">
      <text>
        <r>
          <rPr>
            <sz val="9"/>
            <color indexed="81"/>
            <rFont val="Tahoma"/>
            <family val="2"/>
          </rPr>
          <t>MW of next Segment</t>
        </r>
      </text>
    </comment>
    <comment ref="W145" authorId="0" shapeId="0">
      <text>
        <r>
          <rPr>
            <sz val="9"/>
            <color indexed="81"/>
            <rFont val="Tahoma"/>
            <family val="2"/>
          </rPr>
          <t>Offer MW submitted in Markets Gateway</t>
        </r>
      </text>
    </comment>
    <comment ref="X145" authorId="0" shapeId="0">
      <text>
        <r>
          <rPr>
            <sz val="9"/>
            <color indexed="81"/>
            <rFont val="Tahoma"/>
            <family val="2"/>
          </rPr>
          <t>MW of next Segment</t>
        </r>
      </text>
    </comment>
    <comment ref="AD145" authorId="0" shapeId="0">
      <text>
        <r>
          <rPr>
            <sz val="9"/>
            <color indexed="81"/>
            <rFont val="Tahoma"/>
            <family val="2"/>
          </rPr>
          <t>Offer MW submitted in Markets Gateway</t>
        </r>
      </text>
    </comment>
    <comment ref="AE145" authorId="0" shapeId="0">
      <text>
        <r>
          <rPr>
            <sz val="9"/>
            <color indexed="81"/>
            <rFont val="Tahoma"/>
            <family val="2"/>
          </rPr>
          <t>MW of next Segment</t>
        </r>
      </text>
    </comment>
    <comment ref="B224" authorId="0" shapeId="0">
      <text>
        <r>
          <rPr>
            <sz val="9"/>
            <color indexed="81"/>
            <rFont val="Tahoma"/>
            <family val="2"/>
          </rPr>
          <t>Offer MW submitted in Markets Gateway</t>
        </r>
      </text>
    </comment>
    <comment ref="C224" authorId="0" shapeId="0">
      <text>
        <r>
          <rPr>
            <sz val="9"/>
            <color indexed="81"/>
            <rFont val="Tahoma"/>
            <family val="2"/>
          </rPr>
          <t>MW of next Segment</t>
        </r>
      </text>
    </comment>
    <comment ref="B230" authorId="0" shapeId="0">
      <text>
        <r>
          <rPr>
            <sz val="9"/>
            <color indexed="81"/>
            <rFont val="Tahoma"/>
            <family val="2"/>
          </rPr>
          <t>Offer MW submitted in Markets Gateway</t>
        </r>
      </text>
    </comment>
    <comment ref="C230" authorId="0" shapeId="0">
      <text>
        <r>
          <rPr>
            <sz val="9"/>
            <color indexed="81"/>
            <rFont val="Tahoma"/>
            <family val="2"/>
          </rPr>
          <t>MW of next Segment</t>
        </r>
      </text>
    </comment>
    <comment ref="I230" authorId="0" shapeId="0">
      <text>
        <r>
          <rPr>
            <sz val="9"/>
            <color indexed="81"/>
            <rFont val="Tahoma"/>
            <family val="2"/>
          </rPr>
          <t>Offer MW submitted in Markets Gateway</t>
        </r>
      </text>
    </comment>
    <comment ref="J230" authorId="0" shapeId="0">
      <text>
        <r>
          <rPr>
            <sz val="9"/>
            <color indexed="81"/>
            <rFont val="Tahoma"/>
            <family val="2"/>
          </rPr>
          <t>MW of next Segment</t>
        </r>
      </text>
    </comment>
    <comment ref="P230" authorId="0" shapeId="0">
      <text>
        <r>
          <rPr>
            <sz val="9"/>
            <color indexed="81"/>
            <rFont val="Tahoma"/>
            <family val="2"/>
          </rPr>
          <t>Offer MW submitted in Markets Gateway</t>
        </r>
      </text>
    </comment>
    <comment ref="Q230" authorId="0" shapeId="0">
      <text>
        <r>
          <rPr>
            <sz val="9"/>
            <color indexed="81"/>
            <rFont val="Tahoma"/>
            <family val="2"/>
          </rPr>
          <t>MW of next Segment</t>
        </r>
      </text>
    </comment>
    <comment ref="W230" authorId="0" shapeId="0">
      <text>
        <r>
          <rPr>
            <sz val="9"/>
            <color indexed="81"/>
            <rFont val="Tahoma"/>
            <family val="2"/>
          </rPr>
          <t>Offer MW submitted in Markets Gateway</t>
        </r>
      </text>
    </comment>
    <comment ref="X230" authorId="0" shapeId="0">
      <text>
        <r>
          <rPr>
            <sz val="9"/>
            <color indexed="81"/>
            <rFont val="Tahoma"/>
            <family val="2"/>
          </rPr>
          <t>MW of next Segment</t>
        </r>
      </text>
    </comment>
    <comment ref="AD230" authorId="0" shapeId="0">
      <text>
        <r>
          <rPr>
            <sz val="9"/>
            <color indexed="81"/>
            <rFont val="Tahoma"/>
            <family val="2"/>
          </rPr>
          <t>Offer MW submitted in Markets Gateway</t>
        </r>
      </text>
    </comment>
    <comment ref="AE230" authorId="0" shapeId="0">
      <text>
        <r>
          <rPr>
            <sz val="9"/>
            <color indexed="81"/>
            <rFont val="Tahoma"/>
            <family val="2"/>
          </rPr>
          <t>MW of next Segment</t>
        </r>
      </text>
    </comment>
    <comment ref="B308" authorId="0" shapeId="0">
      <text>
        <r>
          <rPr>
            <sz val="9"/>
            <color indexed="81"/>
            <rFont val="Tahoma"/>
            <family val="2"/>
          </rPr>
          <t>Offer MW submitted in Markets Gateway</t>
        </r>
      </text>
    </comment>
    <comment ref="C308" authorId="0" shapeId="0">
      <text>
        <r>
          <rPr>
            <sz val="9"/>
            <color indexed="81"/>
            <rFont val="Tahoma"/>
            <family val="2"/>
          </rPr>
          <t>MW of next Segment</t>
        </r>
      </text>
    </comment>
    <comment ref="B314" authorId="0" shapeId="0">
      <text>
        <r>
          <rPr>
            <sz val="9"/>
            <color indexed="81"/>
            <rFont val="Tahoma"/>
            <family val="2"/>
          </rPr>
          <t>Offer MW submitted in Markets Gateway</t>
        </r>
      </text>
    </comment>
    <comment ref="C314" authorId="0" shapeId="0">
      <text>
        <r>
          <rPr>
            <sz val="9"/>
            <color indexed="81"/>
            <rFont val="Tahoma"/>
            <family val="2"/>
          </rPr>
          <t>MW of next Segment</t>
        </r>
      </text>
    </comment>
    <comment ref="I314" authorId="0" shapeId="0">
      <text>
        <r>
          <rPr>
            <sz val="9"/>
            <color indexed="81"/>
            <rFont val="Tahoma"/>
            <family val="2"/>
          </rPr>
          <t>Offer MW submitted in Markets Gateway</t>
        </r>
      </text>
    </comment>
    <comment ref="J314" authorId="0" shapeId="0">
      <text>
        <r>
          <rPr>
            <sz val="9"/>
            <color indexed="81"/>
            <rFont val="Tahoma"/>
            <family val="2"/>
          </rPr>
          <t>MW of next Segment</t>
        </r>
      </text>
    </comment>
    <comment ref="P314" authorId="0" shapeId="0">
      <text>
        <r>
          <rPr>
            <sz val="9"/>
            <color indexed="81"/>
            <rFont val="Tahoma"/>
            <family val="2"/>
          </rPr>
          <t>Offer MW submitted in Markets Gateway</t>
        </r>
      </text>
    </comment>
    <comment ref="Q314" authorId="0" shapeId="0">
      <text>
        <r>
          <rPr>
            <sz val="9"/>
            <color indexed="81"/>
            <rFont val="Tahoma"/>
            <family val="2"/>
          </rPr>
          <t>MW of next Segment</t>
        </r>
      </text>
    </comment>
    <comment ref="W314" authorId="0" shapeId="0">
      <text>
        <r>
          <rPr>
            <sz val="9"/>
            <color indexed="81"/>
            <rFont val="Tahoma"/>
            <family val="2"/>
          </rPr>
          <t>Offer MW submitted in Markets Gateway</t>
        </r>
      </text>
    </comment>
    <comment ref="X314" authorId="0" shapeId="0">
      <text>
        <r>
          <rPr>
            <sz val="9"/>
            <color indexed="81"/>
            <rFont val="Tahoma"/>
            <family val="2"/>
          </rPr>
          <t>MW of next Segment</t>
        </r>
      </text>
    </comment>
    <comment ref="AD314" authorId="0" shapeId="0">
      <text>
        <r>
          <rPr>
            <sz val="9"/>
            <color indexed="81"/>
            <rFont val="Tahoma"/>
            <family val="2"/>
          </rPr>
          <t>Offer MW submitted in Markets Gateway</t>
        </r>
      </text>
    </comment>
    <comment ref="AE314" authorId="0" shapeId="0">
      <text>
        <r>
          <rPr>
            <sz val="9"/>
            <color indexed="81"/>
            <rFont val="Tahoma"/>
            <family val="2"/>
          </rPr>
          <t>MW of next Segment</t>
        </r>
      </text>
    </comment>
  </commentList>
</comments>
</file>

<file path=xl/sharedStrings.xml><?xml version="1.0" encoding="utf-8"?>
<sst xmlns="http://schemas.openxmlformats.org/spreadsheetml/2006/main" count="849" uniqueCount="114">
  <si>
    <t>The make-whole or the forgone profit that the resource should be compensated for deviating from where the resource would be operating to provide energy and where the resource should be operating to provide Regulation.</t>
  </si>
  <si>
    <t>Interval actual performance score</t>
  </si>
  <si>
    <t>Actual Performance Score</t>
  </si>
  <si>
    <t>Regulation Raised/Lowered</t>
  </si>
  <si>
    <t>100 Day rolling average of the resources actual performance score</t>
  </si>
  <si>
    <t>Historic Performance Score</t>
  </si>
  <si>
    <t>Deviation Cost</t>
  </si>
  <si>
    <t>Reg Offer Price</t>
  </si>
  <si>
    <t>Regulation Setpoint Act</t>
  </si>
  <si>
    <t>Deviation Revenue</t>
  </si>
  <si>
    <t>Reg Performance Score</t>
  </si>
  <si>
    <t>Values</t>
  </si>
  <si>
    <t>Columns</t>
  </si>
  <si>
    <t>Reg Low Limit</t>
  </si>
  <si>
    <t>Reg High Limit</t>
  </si>
  <si>
    <t>Regulation Opportunity Cost Actual</t>
  </si>
  <si>
    <t>Reg Bias Factor</t>
  </si>
  <si>
    <t xml:space="preserve">Reg Market Clearing Price     </t>
  </si>
  <si>
    <t>Regulation Assignment</t>
  </si>
  <si>
    <t>Regulation Shoulder Data</t>
  </si>
  <si>
    <t>RT Economic Maximum</t>
  </si>
  <si>
    <t>RT Economic Minimum</t>
  </si>
  <si>
    <t>No-Load</t>
  </si>
  <si>
    <t>Startup</t>
  </si>
  <si>
    <t>ADJ Tracking Desired</t>
  </si>
  <si>
    <t>Tracking Desired MW</t>
  </si>
  <si>
    <t>LMP</t>
  </si>
  <si>
    <t>Actual RT MW</t>
  </si>
  <si>
    <t>Real-time Information</t>
  </si>
  <si>
    <t>The following Data can be updated for Scenario Analysis</t>
  </si>
  <si>
    <t>Offer
Cost</t>
  </si>
  <si>
    <t>End
Price</t>
  </si>
  <si>
    <t>Begin
Price</t>
  </si>
  <si>
    <t>End MW</t>
  </si>
  <si>
    <t>Begin MW</t>
  </si>
  <si>
    <t>Segment</t>
  </si>
  <si>
    <t>Regulation Actual</t>
  </si>
  <si>
    <t>End
MW</t>
  </si>
  <si>
    <t>Begin
MW</t>
  </si>
  <si>
    <t>Price</t>
  </si>
  <si>
    <t>Offer</t>
  </si>
  <si>
    <t>This is the Operating Reserve Credit, if the segment only contained this single interval.  The Operating Reserve Credit calculation generally contains multiple intervals within a segment.</t>
  </si>
  <si>
    <t>Balancing Operating Reserve Credit</t>
  </si>
  <si>
    <t>Step 3:</t>
  </si>
  <si>
    <t>Min of Step 1 and Step 2</t>
  </si>
  <si>
    <t>Bal Operating Reserve Credit</t>
  </si>
  <si>
    <t>Bal Net Revenue (Revenue - Cost)</t>
  </si>
  <si>
    <t>RT Startup Cost</t>
  </si>
  <si>
    <t>Regulation Setpoint</t>
  </si>
  <si>
    <t>RT No-Load Cost</t>
  </si>
  <si>
    <r>
      <t>Profit/</t>
    </r>
    <r>
      <rPr>
        <sz val="11"/>
        <color rgb="FFFF0000"/>
        <rFont val="Calibri"/>
        <family val="2"/>
        <scheme val="minor"/>
      </rPr>
      <t>(Loss)</t>
    </r>
  </si>
  <si>
    <t>Regulation Opportunity Cost</t>
  </si>
  <si>
    <t>Balancing Revenue (RT MW  - DA MW) * LMP)</t>
  </si>
  <si>
    <t>Balancing Revenue (Tracking Desired  - DA MW) * LMP)</t>
  </si>
  <si>
    <t>Day-Ahead Operating Reserve Credit</t>
  </si>
  <si>
    <t>Billed Net Revenue</t>
  </si>
  <si>
    <t>DA Revenue (MW * LMP)</t>
  </si>
  <si>
    <t>Profit/Loss</t>
  </si>
  <si>
    <t>Balancing Operating Reserves @ RT MW</t>
  </si>
  <si>
    <t>Balancing Operating Reserves @ Tracking Desired</t>
  </si>
  <si>
    <t>Profit/Loss From Energy Only</t>
  </si>
  <si>
    <t>Step 2</t>
  </si>
  <si>
    <t>Step 1</t>
  </si>
  <si>
    <t>Total Regulation Credit</t>
  </si>
  <si>
    <t>Regulation LOC Credit</t>
  </si>
  <si>
    <t>DA Net Revenue (Revenue - Cost)</t>
  </si>
  <si>
    <t>Regulation Credits</t>
  </si>
  <si>
    <t>DA Economic Maximum</t>
  </si>
  <si>
    <t>Regulation Offer Cost</t>
  </si>
  <si>
    <t>DA Startup Cost</t>
  </si>
  <si>
    <t>DA Economic Minimum</t>
  </si>
  <si>
    <t>Balancing Spot Market Revenue</t>
  </si>
  <si>
    <t>DA No-Load Cost</t>
  </si>
  <si>
    <t>Day-Ahead Spot Market Revenue</t>
  </si>
  <si>
    <t>Regulation Clearing Price Credit</t>
  </si>
  <si>
    <t>MW</t>
  </si>
  <si>
    <t>Day-ahead Information</t>
  </si>
  <si>
    <t>PJM Bill</t>
  </si>
  <si>
    <t>Regulation Settlement Actual</t>
  </si>
  <si>
    <t xml:space="preserve">Day-Ahead Operating Reserve </t>
  </si>
  <si>
    <t>Tracking Desired MW Cost</t>
  </si>
  <si>
    <t>Real-Time MW Cost</t>
  </si>
  <si>
    <t>DA OpRes</t>
  </si>
  <si>
    <t>End Price</t>
  </si>
  <si>
    <t>Begin Price</t>
  </si>
  <si>
    <t>Bal OpRes @ Adj Tracking Desired</t>
  </si>
  <si>
    <t>Bal OpRes @ Tracking Desired</t>
  </si>
  <si>
    <t>Real-Time</t>
  </si>
  <si>
    <t>Regulation Potential</t>
  </si>
  <si>
    <t>Regulation Opportunity Cost Potential</t>
  </si>
  <si>
    <t>Regulation Setpoint Potential</t>
  </si>
  <si>
    <t>Regulation Settlement Potential</t>
  </si>
  <si>
    <t>Regulation Profit above Opp Cost</t>
  </si>
  <si>
    <t>Profit/Loss less Regulation Profit above Opp Cost</t>
  </si>
  <si>
    <t>Not Used In Operating Reserves</t>
  </si>
  <si>
    <t>Regulation Potential vs Actual Opportunity Cost - Resource Output is Reduced to Provide Regulation</t>
  </si>
  <si>
    <t>Regulation Potential vs Actual Opportunity Cost - Resource Output is Increased to Provide Regulation</t>
  </si>
  <si>
    <t>100 Day rolling average of the resource's actual performance score</t>
  </si>
  <si>
    <t>The make-whole or the forgone profit that the resource should be compensated for deviating from where the resource would be operating to provide energy to where the resource should be operating to provide Regulation.</t>
  </si>
  <si>
    <t>Regulation Setpoint Actual</t>
  </si>
  <si>
    <t>Regulation Opportunity Cost: Potential</t>
  </si>
  <si>
    <t>Regulation Opportunity Cost: Actual</t>
  </si>
  <si>
    <t>Example 1:   Regulation Potential vs Actual Opportunity Cost: Resource is Reduced to Provide Regulation  - RT energy commitment only</t>
  </si>
  <si>
    <t>Example 4:   Regulation Potential vs Actual Opportunity Cost: Resource Ouptut is Increased to Provide Regulation  - DA and RT energy commitments</t>
  </si>
  <si>
    <t>Example 3:   Regulation Potential vs Actual Opportunity Cost: Resource is Reduced to Provide Regulation  - DA and RT energy commitments</t>
  </si>
  <si>
    <t>Example 2:  Regulation Potential vs Actual Opportunity Cost: Resource Ouptut is Increased to Provide Regulation  - RT energy commitment only</t>
  </si>
  <si>
    <r>
      <t xml:space="preserve">The revenue is for the deviation from where the resource would be just providing energy </t>
    </r>
    <r>
      <rPr>
        <sz val="11"/>
        <rFont val="Calibri"/>
        <family val="2"/>
        <scheme val="minor"/>
      </rPr>
      <t xml:space="preserve">(Economic Tracking Desired) </t>
    </r>
    <r>
      <rPr>
        <sz val="11"/>
        <color theme="1"/>
        <rFont val="Calibri"/>
        <family val="2"/>
        <scheme val="minor"/>
      </rPr>
      <t>and where the resource should be to provide Regulation</t>
    </r>
    <r>
      <rPr>
        <sz val="11"/>
        <rFont val="Calibri"/>
        <family val="2"/>
        <scheme val="minor"/>
      </rPr>
      <t xml:space="preserve"> (Tracking Desired MW)</t>
    </r>
    <r>
      <rPr>
        <sz val="11"/>
        <color theme="1"/>
        <rFont val="Calibri"/>
        <family val="2"/>
        <scheme val="minor"/>
      </rPr>
      <t>. The calculation is the deviation * RT LMP.</t>
    </r>
  </si>
  <si>
    <r>
      <t xml:space="preserve">The cost to provide the  deviation from where the resource would be just providing energy </t>
    </r>
    <r>
      <rPr>
        <sz val="11"/>
        <rFont val="Calibri"/>
        <family val="2"/>
        <scheme val="minor"/>
      </rPr>
      <t>(Economic Tracking Desired)</t>
    </r>
    <r>
      <rPr>
        <sz val="11"/>
        <color theme="1"/>
        <rFont val="Calibri"/>
        <family val="2"/>
        <scheme val="minor"/>
      </rPr>
      <t xml:space="preserve"> and where the resource should be to provide Regulation </t>
    </r>
    <r>
      <rPr>
        <sz val="11"/>
        <rFont val="Calibri"/>
        <family val="2"/>
        <scheme val="minor"/>
      </rPr>
      <t>(Tracking Desired MW)</t>
    </r>
    <r>
      <rPr>
        <sz val="11"/>
        <color theme="1"/>
        <rFont val="Calibri"/>
        <family val="2"/>
        <scheme val="minor"/>
      </rPr>
      <t>. The area under the curve for the two points</t>
    </r>
  </si>
  <si>
    <t>Economic Tracking Desired</t>
  </si>
  <si>
    <t>The revenue is for the deviation from where the resource would be just providing energy (ADJ Tracking Desired) and where the resource should be to provide Regulation (Tracking Desired MW). The calculation is the deviation * RT LMP.</t>
  </si>
  <si>
    <t>The cost to provide the  deviation from where the resource would be just providing energy (ADJ Tracking Desired) and where the resource should be to provide Regulation (Tracking Desired MW). The area under the curve for the two points</t>
  </si>
  <si>
    <t>Balancing Revenue (Economic Tracking Desired  - DA MW) * LMP)</t>
  </si>
  <si>
    <t>Balancing Revenue (EconomicTracking Desired  - DA MW) * LMP)</t>
  </si>
  <si>
    <t>Balancing Operating Reserves @ Economic Tracking Desired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</si>
</sst>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8" formatCode="&quot;$&quot;#,##0.00_);[Red]\(&quot;$&quot;#,##0.00\)"/>
    <numFmt numFmtId="44" formatCode="_(&quot;$&quot;* #,##0.00_);_(&quot;$&quot;* \(#,##0.00\);_(&quot;$&quot;* &quot;-&quot;??_);_(@_)"/>
    <numFmt numFmtId="164" formatCode="&quot;$&quot;#,##0.00_);[Red]\(&quot;$&quot;#,##0.00\);_(&quot;$&quot;&quot;-&quot;_)"/>
    <numFmt numFmtId="165" formatCode="&quot;$&quot;#,##0.00_);[Red]\(&quot;$&quot;#,##0.00\);_(&quot;$&quot;* &quot;-&quot;_)"/>
    <numFmt numFmtId="166" formatCode="&quot;$&quot;#,##0.00"/>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name val="Calibri"/>
      <family val="2"/>
      <scheme val="minor"/>
    </font>
    <font>
      <b/>
      <sz val="11"/>
      <color rgb="FF00B050"/>
      <name val="Calibri"/>
      <family val="2"/>
      <scheme val="minor"/>
    </font>
    <font>
      <b/>
      <u/>
      <sz val="11"/>
      <color theme="1"/>
      <name val="Calibri"/>
      <family val="2"/>
      <scheme val="minor"/>
    </font>
    <font>
      <i/>
      <sz val="8"/>
      <color theme="1"/>
      <name val="Calibri"/>
      <family val="2"/>
      <scheme val="minor"/>
    </font>
    <font>
      <sz val="16"/>
      <name val="Calibri"/>
      <family val="2"/>
      <scheme val="minor"/>
    </font>
    <font>
      <sz val="9"/>
      <color indexed="81"/>
      <name val="Tahoma"/>
      <family val="2"/>
    </font>
    <font>
      <b/>
      <sz val="11"/>
      <color rgb="FFFF0000"/>
      <name val="Calibri"/>
      <family val="2"/>
      <scheme val="minor"/>
    </font>
    <font>
      <sz val="11"/>
      <color rgb="FF00B050"/>
      <name val="Calibri"/>
      <family val="2"/>
      <scheme val="minor"/>
    </font>
    <font>
      <sz val="9"/>
      <color indexed="81"/>
      <name val="Tahoma"/>
      <charset val="1"/>
    </font>
    <font>
      <b/>
      <sz val="16"/>
      <color rgb="FF00B050"/>
      <name val="Calibri"/>
      <family val="2"/>
      <scheme val="minor"/>
    </font>
    <font>
      <sz val="11"/>
      <color rgb="FF7030A0"/>
      <name val="Calibri"/>
      <family val="2"/>
      <scheme val="minor"/>
    </font>
    <font>
      <sz val="11"/>
      <name val="Calibri"/>
      <family val="2"/>
      <scheme val="minor"/>
    </font>
  </fonts>
  <fills count="7">
    <fill>
      <patternFill patternType="none"/>
    </fill>
    <fill>
      <patternFill patternType="gray125"/>
    </fill>
    <fill>
      <patternFill patternType="solid">
        <fgColor theme="9"/>
      </patternFill>
    </fill>
    <fill>
      <patternFill patternType="solid">
        <fgColor theme="4" tint="0.79998168889431442"/>
        <bgColor indexed="64"/>
      </patternFill>
    </fill>
    <fill>
      <patternFill patternType="solid">
        <fgColor rgb="FFFFFF00"/>
        <bgColor indexed="64"/>
      </patternFill>
    </fill>
    <fill>
      <patternFill patternType="solid">
        <fgColor rgb="FFF8F8F8"/>
        <bgColor indexed="64"/>
      </patternFill>
    </fill>
    <fill>
      <patternFill patternType="solid">
        <fgColor theme="4" tint="0.59999389629810485"/>
        <bgColor indexed="64"/>
      </patternFill>
    </fill>
  </fills>
  <borders count="3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2" borderId="0" applyNumberFormat="0" applyBorder="0" applyAlignment="0" applyProtection="0"/>
  </cellStyleXfs>
  <cellXfs count="261">
    <xf numFmtId="0" fontId="0" fillId="0" borderId="0" xfId="0"/>
    <xf numFmtId="164" fontId="0" fillId="0" borderId="0" xfId="0" applyNumberFormat="1" applyFill="1" applyBorder="1" applyAlignment="1">
      <alignment horizontal="centerContinuous"/>
    </xf>
    <xf numFmtId="0" fontId="3" fillId="0" borderId="0" xfId="0" applyFont="1" applyFill="1" applyBorder="1" applyAlignment="1">
      <alignment horizontal="centerContinuous"/>
    </xf>
    <xf numFmtId="0" fontId="0" fillId="0" borderId="0" xfId="0" applyFill="1" applyBorder="1" applyAlignment="1"/>
    <xf numFmtId="164" fontId="0" fillId="0" borderId="0" xfId="0" applyNumberFormat="1" applyFill="1" applyBorder="1" applyAlignment="1"/>
    <xf numFmtId="0" fontId="3" fillId="0" borderId="0" xfId="0" applyFont="1" applyFill="1" applyBorder="1" applyAlignment="1"/>
    <xf numFmtId="0" fontId="0" fillId="0" borderId="0" xfId="0" applyFill="1" applyBorder="1"/>
    <xf numFmtId="0" fontId="0" fillId="3" borderId="1" xfId="0" applyFill="1" applyBorder="1" applyAlignment="1">
      <alignment horizontal="centerContinuous"/>
    </xf>
    <xf numFmtId="164" fontId="0" fillId="3" borderId="2" xfId="0" applyNumberFormat="1" applyFill="1" applyBorder="1" applyAlignment="1">
      <alignment horizontal="centerContinuous"/>
    </xf>
    <xf numFmtId="0" fontId="3" fillId="3" borderId="2" xfId="0" applyFont="1" applyFill="1" applyBorder="1" applyAlignment="1">
      <alignment horizontal="centerContinuous"/>
    </xf>
    <xf numFmtId="0" fontId="3" fillId="3" borderId="3" xfId="0" applyFont="1" applyFill="1" applyBorder="1" applyAlignment="1">
      <alignment horizontal="centerContinuous"/>
    </xf>
    <xf numFmtId="4" fontId="0" fillId="0" borderId="0" xfId="0" applyNumberFormat="1" applyAlignment="1"/>
    <xf numFmtId="0" fontId="0" fillId="0" borderId="0" xfId="0" applyAlignment="1"/>
    <xf numFmtId="0" fontId="3" fillId="0" borderId="0" xfId="0" applyFont="1" applyAlignment="1"/>
    <xf numFmtId="164" fontId="0" fillId="0" borderId="0" xfId="0" applyNumberFormat="1" applyFill="1" applyBorder="1" applyAlignment="1">
      <alignment horizontal="centerContinuous" wrapText="1"/>
    </xf>
    <xf numFmtId="0" fontId="0" fillId="0" borderId="0" xfId="0" applyFill="1" applyBorder="1" applyAlignment="1">
      <alignment horizontal="centerContinuous" wrapText="1"/>
    </xf>
    <xf numFmtId="0" fontId="0" fillId="0" borderId="0" xfId="0" applyAlignment="1">
      <alignment horizontal="centerContinuous" wrapText="1"/>
    </xf>
    <xf numFmtId="0" fontId="0" fillId="3" borderId="4" xfId="0" applyFill="1" applyBorder="1" applyAlignment="1">
      <alignment horizontal="centerContinuous"/>
    </xf>
    <xf numFmtId="164" fontId="0" fillId="3" borderId="0" xfId="0" applyNumberFormat="1" applyFill="1" applyBorder="1" applyAlignment="1">
      <alignment horizontal="centerContinuous"/>
    </xf>
    <xf numFmtId="0" fontId="3" fillId="3" borderId="0" xfId="0" applyFont="1" applyFill="1" applyBorder="1" applyAlignment="1">
      <alignment horizontal="centerContinuous"/>
    </xf>
    <xf numFmtId="0" fontId="3" fillId="3" borderId="5" xfId="0" applyFont="1" applyFill="1" applyBorder="1" applyAlignment="1">
      <alignment horizontal="centerContinuous"/>
    </xf>
    <xf numFmtId="0" fontId="0" fillId="3" borderId="0" xfId="0" applyNumberFormat="1" applyFill="1" applyBorder="1" applyAlignment="1">
      <alignment horizontal="centerContinuous"/>
    </xf>
    <xf numFmtId="4" fontId="0" fillId="0" borderId="1" xfId="0" applyNumberFormat="1" applyBorder="1" applyAlignment="1">
      <alignment horizontal="centerContinuous"/>
    </xf>
    <xf numFmtId="164" fontId="0" fillId="0" borderId="2" xfId="0" applyNumberFormat="1" applyFill="1" applyBorder="1" applyAlignment="1">
      <alignment horizontal="centerContinuous"/>
    </xf>
    <xf numFmtId="0" fontId="0" fillId="0" borderId="2" xfId="0" applyBorder="1" applyAlignment="1"/>
    <xf numFmtId="0" fontId="3" fillId="0" borderId="3" xfId="0" applyFont="1" applyBorder="1" applyAlignment="1"/>
    <xf numFmtId="164" fontId="0" fillId="0" borderId="0" xfId="0" applyNumberFormat="1" applyFont="1" applyFill="1" applyBorder="1" applyAlignment="1">
      <alignment horizontal="centerContinuous"/>
    </xf>
    <xf numFmtId="0" fontId="0" fillId="0" borderId="4" xfId="0" applyBorder="1" applyAlignment="1">
      <alignment horizontal="centerContinuous"/>
    </xf>
    <xf numFmtId="0" fontId="0" fillId="0" borderId="0" xfId="0" applyBorder="1" applyAlignment="1">
      <alignment horizontal="centerContinuous"/>
    </xf>
    <xf numFmtId="0" fontId="0" fillId="0" borderId="0" xfId="0" applyBorder="1"/>
    <xf numFmtId="0" fontId="3" fillId="0" borderId="5" xfId="0" applyFont="1" applyBorder="1"/>
    <xf numFmtId="0" fontId="0" fillId="4" borderId="0" xfId="0" applyFill="1" applyBorder="1"/>
    <xf numFmtId="0" fontId="3" fillId="4" borderId="5" xfId="0" applyFont="1" applyFill="1" applyBorder="1"/>
    <xf numFmtId="0" fontId="3" fillId="0" borderId="0" xfId="0" applyFont="1" applyFill="1" applyBorder="1" applyAlignment="1">
      <alignment horizontal="centerContinuous" wrapText="1"/>
    </xf>
    <xf numFmtId="0" fontId="0" fillId="0" borderId="0" xfId="0" applyFont="1" applyFill="1" applyBorder="1" applyAlignment="1">
      <alignment horizontal="centerContinuous" wrapText="1"/>
    </xf>
    <xf numFmtId="0" fontId="0" fillId="3" borderId="0" xfId="0" applyFill="1" applyBorder="1" applyAlignment="1">
      <alignment horizontal="centerContinuous" wrapText="1"/>
    </xf>
    <xf numFmtId="0" fontId="0" fillId="3" borderId="5" xfId="0" applyFill="1" applyBorder="1" applyAlignment="1">
      <alignment horizontal="centerContinuous" wrapText="1"/>
    </xf>
    <xf numFmtId="0" fontId="3" fillId="3" borderId="5" xfId="0" applyFont="1" applyFill="1" applyBorder="1" applyAlignment="1">
      <alignment horizontal="centerContinuous" wrapText="1"/>
    </xf>
    <xf numFmtId="8" fontId="0" fillId="4" borderId="0" xfId="0" applyNumberFormat="1" applyFill="1" applyBorder="1"/>
    <xf numFmtId="0" fontId="3" fillId="3" borderId="6" xfId="0" applyFont="1" applyFill="1" applyBorder="1" applyAlignment="1">
      <alignment horizontal="centerContinuous"/>
    </xf>
    <xf numFmtId="0" fontId="3" fillId="3" borderId="7" xfId="0" applyFont="1" applyFill="1" applyBorder="1" applyAlignment="1">
      <alignment horizontal="centerContinuous"/>
    </xf>
    <xf numFmtId="0" fontId="3" fillId="3" borderId="8" xfId="0" applyFont="1" applyFill="1" applyBorder="1" applyAlignment="1">
      <alignment horizontal="centerContinuous"/>
    </xf>
    <xf numFmtId="8" fontId="0" fillId="0" borderId="0" xfId="0" applyNumberFormat="1" applyBorder="1"/>
    <xf numFmtId="0" fontId="3" fillId="3" borderId="1" xfId="0" applyFont="1" applyFill="1" applyBorder="1" applyAlignment="1">
      <alignment horizontal="centerContinuous"/>
    </xf>
    <xf numFmtId="0" fontId="5" fillId="3" borderId="6" xfId="0" applyFont="1" applyFill="1" applyBorder="1" applyAlignment="1">
      <alignment horizontal="centerContinuous" wrapText="1"/>
    </xf>
    <xf numFmtId="0" fontId="6" fillId="0" borderId="0" xfId="0" applyFont="1" applyBorder="1" applyAlignment="1">
      <alignment horizontal="centerContinuous"/>
    </xf>
    <xf numFmtId="9" fontId="0" fillId="0" borderId="0" xfId="2" applyFont="1" applyBorder="1" applyAlignment="1">
      <alignment horizontal="centerContinuous"/>
    </xf>
    <xf numFmtId="0" fontId="3" fillId="0" borderId="5" xfId="0" applyFont="1" applyBorder="1" applyAlignment="1">
      <alignment horizontal="centerContinuous"/>
    </xf>
    <xf numFmtId="44" fontId="0" fillId="0" borderId="0" xfId="0" applyNumberFormat="1" applyFill="1" applyBorder="1"/>
    <xf numFmtId="0" fontId="0" fillId="0" borderId="0" xfId="0" applyFill="1" applyBorder="1" applyAlignment="1">
      <alignment horizontal="left" wrapText="1"/>
    </xf>
    <xf numFmtId="0" fontId="0" fillId="0" borderId="0" xfId="0" applyBorder="1" applyAlignment="1">
      <alignment horizontal="left" wrapText="1"/>
    </xf>
    <xf numFmtId="0" fontId="0" fillId="0" borderId="9" xfId="0" applyBorder="1" applyAlignment="1">
      <alignment horizontal="centerContinuous"/>
    </xf>
    <xf numFmtId="0" fontId="0" fillId="0" borderId="10" xfId="0" applyBorder="1" applyAlignment="1">
      <alignment horizontal="centerContinuous"/>
    </xf>
    <xf numFmtId="0" fontId="3" fillId="0" borderId="11" xfId="0" applyFont="1" applyBorder="1" applyAlignment="1">
      <alignment horizontal="centerContinuous"/>
    </xf>
    <xf numFmtId="44" fontId="0" fillId="0" borderId="0" xfId="0" applyNumberFormat="1"/>
    <xf numFmtId="0" fontId="0" fillId="0" borderId="0" xfId="0" applyAlignment="1">
      <alignment horizontal="centerContinuous"/>
    </xf>
    <xf numFmtId="0" fontId="0" fillId="0" borderId="1" xfId="0" applyBorder="1" applyAlignment="1">
      <alignment horizontal="centerContinuous"/>
    </xf>
    <xf numFmtId="0" fontId="0" fillId="0" borderId="2" xfId="0" applyNumberFormat="1" applyFill="1" applyBorder="1" applyAlignment="1">
      <alignment horizontal="centerContinuous"/>
    </xf>
    <xf numFmtId="0" fontId="0" fillId="0" borderId="2" xfId="0" applyBorder="1" applyAlignment="1">
      <alignment horizontal="centerContinuous"/>
    </xf>
    <xf numFmtId="0" fontId="3" fillId="0" borderId="3" xfId="0" applyFont="1" applyBorder="1" applyAlignment="1">
      <alignment horizontal="centerContinuous"/>
    </xf>
    <xf numFmtId="0" fontId="0" fillId="0" borderId="0" xfId="0" applyNumberFormat="1" applyFill="1" applyBorder="1" applyAlignment="1">
      <alignment horizontal="centerContinuous"/>
    </xf>
    <xf numFmtId="8" fontId="0" fillId="0" borderId="4" xfId="1" applyNumberFormat="1" applyFont="1" applyBorder="1" applyAlignment="1">
      <alignment horizontal="centerContinuous"/>
    </xf>
    <xf numFmtId="0" fontId="3" fillId="0" borderId="0" xfId="0" applyFont="1" applyBorder="1"/>
    <xf numFmtId="0" fontId="3" fillId="0" borderId="0" xfId="0" applyFont="1" applyBorder="1" applyAlignment="1">
      <alignment horizontal="centerContinuous"/>
    </xf>
    <xf numFmtId="0" fontId="0" fillId="3" borderId="4" xfId="0" applyFill="1" applyBorder="1" applyAlignment="1">
      <alignment horizontal="centerContinuous" vertical="center"/>
    </xf>
    <xf numFmtId="164" fontId="0" fillId="3" borderId="0" xfId="0" applyNumberFormat="1" applyFill="1" applyBorder="1" applyAlignment="1">
      <alignment horizontal="centerContinuous" vertical="center"/>
    </xf>
    <xf numFmtId="44" fontId="0" fillId="0" borderId="0" xfId="1" applyFont="1" applyBorder="1"/>
    <xf numFmtId="0" fontId="0" fillId="0" borderId="0" xfId="0" applyFont="1"/>
    <xf numFmtId="0" fontId="0" fillId="0" borderId="9" xfId="0" applyBorder="1" applyAlignment="1">
      <alignment horizontal="centerContinuous" vertical="distributed"/>
    </xf>
    <xf numFmtId="0" fontId="3" fillId="0" borderId="10" xfId="0" applyFont="1" applyBorder="1" applyAlignment="1">
      <alignment horizontal="centerContinuous" vertical="distributed"/>
    </xf>
    <xf numFmtId="0" fontId="3" fillId="0" borderId="11" xfId="0" applyFont="1" applyBorder="1" applyAlignment="1">
      <alignment horizontal="centerContinuous" vertical="distributed"/>
    </xf>
    <xf numFmtId="0" fontId="5" fillId="0" borderId="0" xfId="0" applyFont="1" applyFill="1" applyBorder="1" applyAlignment="1"/>
    <xf numFmtId="0" fontId="7" fillId="0" borderId="0" xfId="0" applyFont="1" applyFill="1" applyBorder="1" applyAlignment="1"/>
    <xf numFmtId="0" fontId="5" fillId="3" borderId="9" xfId="0" applyFont="1" applyFill="1" applyBorder="1" applyAlignment="1">
      <alignment horizontal="centerContinuous" wrapText="1"/>
    </xf>
    <xf numFmtId="0" fontId="3" fillId="3" borderId="11" xfId="0" applyFont="1" applyFill="1" applyBorder="1" applyAlignment="1">
      <alignment horizontal="centerContinuous"/>
    </xf>
    <xf numFmtId="0" fontId="3" fillId="3" borderId="9" xfId="0" applyFont="1" applyFill="1" applyBorder="1" applyAlignment="1">
      <alignment horizontal="centerContinuous"/>
    </xf>
    <xf numFmtId="0" fontId="3" fillId="3" borderId="10" xfId="0" applyFont="1" applyFill="1" applyBorder="1" applyAlignment="1">
      <alignment horizontal="centerContinuous"/>
    </xf>
    <xf numFmtId="0" fontId="8" fillId="0" borderId="0" xfId="0" applyFont="1" applyAlignment="1">
      <alignment horizontal="centerContinuous"/>
    </xf>
    <xf numFmtId="164" fontId="0" fillId="0" borderId="12" xfId="0" applyNumberFormat="1" applyFill="1" applyBorder="1" applyAlignment="1">
      <alignment horizontal="centerContinuous"/>
    </xf>
    <xf numFmtId="165" fontId="0" fillId="0" borderId="2" xfId="1" applyNumberFormat="1" applyFont="1" applyBorder="1"/>
    <xf numFmtId="165" fontId="0" fillId="0" borderId="3" xfId="1" applyNumberFormat="1" applyFont="1" applyBorder="1"/>
    <xf numFmtId="164" fontId="0" fillId="0" borderId="4" xfId="0" applyNumberFormat="1" applyFill="1" applyBorder="1" applyAlignment="1">
      <alignment horizontal="centerContinuous"/>
    </xf>
    <xf numFmtId="0" fontId="0" fillId="0" borderId="0" xfId="1" applyNumberFormat="1" applyFont="1" applyBorder="1"/>
    <xf numFmtId="0" fontId="3" fillId="0" borderId="5" xfId="1" applyNumberFormat="1" applyFont="1" applyBorder="1"/>
    <xf numFmtId="164" fontId="0" fillId="0" borderId="9" xfId="0" applyNumberFormat="1" applyFill="1" applyBorder="1" applyAlignment="1">
      <alignment horizontal="centerContinuous"/>
    </xf>
    <xf numFmtId="164" fontId="0" fillId="0" borderId="10" xfId="0" applyNumberFormat="1" applyFill="1" applyBorder="1" applyAlignment="1">
      <alignment horizontal="centerContinuous"/>
    </xf>
    <xf numFmtId="0" fontId="0" fillId="0" borderId="10" xfId="1" applyNumberFormat="1" applyFont="1" applyBorder="1"/>
    <xf numFmtId="0" fontId="3" fillId="0" borderId="11" xfId="1" applyNumberFormat="1" applyFont="1" applyBorder="1"/>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9" xfId="0" applyFont="1" applyBorder="1" applyAlignment="1">
      <alignment horizontal="centerContinuous"/>
    </xf>
    <xf numFmtId="0" fontId="3" fillId="0" borderId="10" xfId="0" applyFont="1" applyBorder="1" applyAlignment="1">
      <alignment horizontal="centerContinuous"/>
    </xf>
    <xf numFmtId="0" fontId="0" fillId="0" borderId="0" xfId="0" applyNumberFormat="1"/>
    <xf numFmtId="164" fontId="0" fillId="0" borderId="1" xfId="0" applyNumberFormat="1" applyFill="1" applyBorder="1" applyAlignment="1">
      <alignment horizontal="centerContinuous"/>
    </xf>
    <xf numFmtId="0" fontId="0" fillId="0" borderId="2" xfId="0" applyBorder="1"/>
    <xf numFmtId="0" fontId="0" fillId="0" borderId="3" xfId="0" applyBorder="1"/>
    <xf numFmtId="0" fontId="3" fillId="0" borderId="3" xfId="0" applyFont="1" applyBorder="1"/>
    <xf numFmtId="0" fontId="0" fillId="0" borderId="5" xfId="0" applyBorder="1"/>
    <xf numFmtId="0" fontId="0" fillId="0" borderId="10" xfId="0" applyBorder="1"/>
    <xf numFmtId="0" fontId="0" fillId="0" borderId="11" xfId="0" applyBorder="1"/>
    <xf numFmtId="0" fontId="3" fillId="0" borderId="11" xfId="0" applyFont="1" applyBorder="1"/>
    <xf numFmtId="0" fontId="3" fillId="0" borderId="6" xfId="0" applyFont="1" applyBorder="1" applyAlignment="1">
      <alignment horizontal="center"/>
    </xf>
    <xf numFmtId="0" fontId="3" fillId="0" borderId="8" xfId="0" applyFont="1" applyBorder="1" applyAlignment="1">
      <alignment horizontal="center"/>
    </xf>
    <xf numFmtId="0" fontId="3" fillId="0" borderId="1" xfId="0" applyFont="1" applyBorder="1" applyAlignment="1">
      <alignment horizontal="centerContinuous"/>
    </xf>
    <xf numFmtId="0" fontId="3" fillId="0" borderId="2" xfId="0" applyFont="1" applyBorder="1" applyAlignment="1">
      <alignment horizontal="centerContinuous"/>
    </xf>
    <xf numFmtId="0" fontId="3" fillId="0" borderId="1" xfId="0" applyFont="1" applyBorder="1" applyAlignment="1">
      <alignment horizontal="centerContinuous" wrapText="1"/>
    </xf>
    <xf numFmtId="0" fontId="3" fillId="0" borderId="2" xfId="0" applyFont="1" applyBorder="1" applyAlignment="1">
      <alignment horizontal="centerContinuous" wrapText="1"/>
    </xf>
    <xf numFmtId="0" fontId="3" fillId="0" borderId="3" xfId="0" applyFont="1" applyBorder="1" applyAlignment="1">
      <alignment horizontal="centerContinuous" wrapText="1"/>
    </xf>
    <xf numFmtId="0" fontId="9" fillId="0" borderId="13" xfId="3" applyFont="1" applyFill="1" applyBorder="1" applyAlignment="1">
      <alignment horizontal="centerContinuous" wrapText="1"/>
    </xf>
    <xf numFmtId="0" fontId="0" fillId="0" borderId="0" xfId="0" applyAlignment="1">
      <alignment horizontal="centerContinuous" vertical="top" wrapText="1"/>
    </xf>
    <xf numFmtId="164" fontId="0" fillId="0" borderId="0" xfId="0" applyNumberFormat="1"/>
    <xf numFmtId="0" fontId="3" fillId="0" borderId="0" xfId="0" applyFont="1"/>
    <xf numFmtId="0" fontId="11" fillId="0" borderId="0" xfId="0" applyFont="1" applyAlignment="1">
      <alignment horizontal="centerContinuous"/>
    </xf>
    <xf numFmtId="0" fontId="12" fillId="0" borderId="0" xfId="0" applyFont="1" applyAlignment="1">
      <alignment horizontal="centerContinuous"/>
    </xf>
    <xf numFmtId="0" fontId="11" fillId="0" borderId="0" xfId="0" applyFont="1"/>
    <xf numFmtId="8" fontId="0" fillId="0" borderId="0" xfId="0" applyNumberFormat="1" applyAlignment="1"/>
    <xf numFmtId="8" fontId="0" fillId="0" borderId="0" xfId="0" applyNumberFormat="1"/>
    <xf numFmtId="0" fontId="0" fillId="0" borderId="0" xfId="0" applyBorder="1" applyAlignment="1"/>
    <xf numFmtId="1" fontId="0" fillId="0" borderId="0" xfId="1" applyNumberFormat="1" applyFont="1" applyBorder="1" applyAlignment="1"/>
    <xf numFmtId="44" fontId="0" fillId="0" borderId="1" xfId="0" applyNumberFormat="1" applyFont="1" applyFill="1" applyBorder="1" applyAlignment="1">
      <alignment horizontal="centerContinuous"/>
    </xf>
    <xf numFmtId="44" fontId="0" fillId="0" borderId="1" xfId="1" applyFont="1" applyFill="1" applyBorder="1"/>
    <xf numFmtId="44" fontId="0" fillId="0" borderId="14" xfId="0" applyNumberFormat="1" applyFont="1" applyFill="1" applyBorder="1" applyAlignment="1">
      <alignment horizontal="centerContinuous"/>
    </xf>
    <xf numFmtId="164" fontId="0" fillId="0" borderId="15" xfId="0" applyNumberFormat="1" applyFill="1" applyBorder="1" applyAlignment="1">
      <alignment horizontal="centerContinuous"/>
    </xf>
    <xf numFmtId="0" fontId="0" fillId="0" borderId="0" xfId="0" applyBorder="1" applyAlignment="1">
      <alignment horizontal="centerContinuous" wrapText="1" readingOrder="1"/>
    </xf>
    <xf numFmtId="0" fontId="0" fillId="0" borderId="5" xfId="0" applyBorder="1" applyAlignment="1">
      <alignment horizontal="centerContinuous" wrapText="1" readingOrder="1"/>
    </xf>
    <xf numFmtId="0" fontId="0" fillId="0" borderId="0" xfId="0" applyBorder="1" applyAlignment="1">
      <alignment horizontal="centerContinuous" wrapText="1"/>
    </xf>
    <xf numFmtId="0" fontId="0" fillId="0" borderId="5" xfId="0" applyBorder="1" applyAlignment="1">
      <alignment horizontal="centerContinuous" wrapText="1"/>
    </xf>
    <xf numFmtId="44" fontId="0" fillId="0" borderId="4" xfId="0" applyNumberFormat="1" applyFont="1" applyFill="1" applyBorder="1" applyAlignment="1">
      <alignment horizontal="centerContinuous"/>
    </xf>
    <xf numFmtId="44" fontId="0" fillId="0" borderId="16" xfId="0" applyNumberFormat="1" applyFont="1" applyFill="1" applyBorder="1" applyAlignment="1">
      <alignment horizontal="centerContinuous"/>
    </xf>
    <xf numFmtId="164" fontId="0" fillId="0" borderId="17" xfId="0" applyNumberFormat="1" applyFill="1" applyBorder="1" applyAlignment="1">
      <alignment horizontal="centerContinuous"/>
    </xf>
    <xf numFmtId="8" fontId="0" fillId="0" borderId="0" xfId="0" applyNumberFormat="1" applyFill="1" applyBorder="1" applyAlignment="1"/>
    <xf numFmtId="0" fontId="0" fillId="3" borderId="5" xfId="0" applyFont="1" applyFill="1" applyBorder="1" applyAlignment="1">
      <alignment horizontal="centerContinuous"/>
    </xf>
    <xf numFmtId="0" fontId="3" fillId="0" borderId="5" xfId="0" applyFont="1" applyFill="1" applyBorder="1" applyAlignment="1">
      <alignment horizontal="centerContinuous"/>
    </xf>
    <xf numFmtId="8" fontId="0" fillId="0" borderId="0" xfId="0" applyNumberFormat="1" applyFont="1" applyFill="1" applyBorder="1"/>
    <xf numFmtId="0" fontId="3" fillId="0" borderId="0" xfId="0" applyFont="1" applyAlignment="1">
      <alignment horizontal="center"/>
    </xf>
    <xf numFmtId="44" fontId="0" fillId="4" borderId="4" xfId="0" applyNumberFormat="1" applyFont="1" applyFill="1" applyBorder="1" applyAlignment="1">
      <alignment horizontal="centerContinuous"/>
    </xf>
    <xf numFmtId="164" fontId="0" fillId="4" borderId="0" xfId="0" applyNumberFormat="1" applyFill="1" applyBorder="1" applyAlignment="1">
      <alignment horizontal="centerContinuous"/>
    </xf>
    <xf numFmtId="0" fontId="3" fillId="4" borderId="0" xfId="0" applyFont="1" applyFill="1" applyBorder="1" applyAlignment="1">
      <alignment horizontal="centerContinuous"/>
    </xf>
    <xf numFmtId="0" fontId="3" fillId="4" borderId="5" xfId="0" applyFont="1" applyFill="1" applyBorder="1" applyAlignment="1">
      <alignment horizontal="centerContinuous"/>
    </xf>
    <xf numFmtId="9" fontId="0" fillId="0" borderId="0" xfId="2" applyFont="1" applyAlignment="1">
      <alignment horizontal="centerContinuous"/>
    </xf>
    <xf numFmtId="0" fontId="3" fillId="0" borderId="0" xfId="0" applyFont="1" applyAlignment="1">
      <alignment horizontal="centerContinuous"/>
    </xf>
    <xf numFmtId="0" fontId="0" fillId="3" borderId="4" xfId="0" applyFont="1" applyFill="1" applyBorder="1" applyAlignment="1">
      <alignment horizontal="centerContinuous"/>
    </xf>
    <xf numFmtId="164" fontId="0" fillId="3" borderId="0" xfId="0" applyNumberFormat="1" applyFont="1" applyFill="1" applyBorder="1" applyAlignment="1">
      <alignment horizontal="centerContinuous"/>
    </xf>
    <xf numFmtId="0" fontId="3" fillId="0" borderId="0" xfId="0" applyFont="1" applyFill="1" applyBorder="1" applyAlignment="1">
      <alignment horizontal="center"/>
    </xf>
    <xf numFmtId="0" fontId="0" fillId="3" borderId="9" xfId="0" applyFill="1" applyBorder="1" applyAlignment="1">
      <alignment horizontal="centerContinuous"/>
    </xf>
    <xf numFmtId="164" fontId="0" fillId="3" borderId="10" xfId="0" applyNumberFormat="1" applyFill="1" applyBorder="1" applyAlignment="1">
      <alignment horizontal="centerContinuous"/>
    </xf>
    <xf numFmtId="0" fontId="0" fillId="3" borderId="10" xfId="0" applyFill="1" applyBorder="1" applyAlignment="1">
      <alignment horizontal="centerContinuous" wrapText="1"/>
    </xf>
    <xf numFmtId="0" fontId="0" fillId="3" borderId="11" xfId="0" applyFill="1" applyBorder="1" applyAlignment="1">
      <alignment horizontal="centerContinuous" wrapText="1"/>
    </xf>
    <xf numFmtId="44" fontId="0" fillId="0" borderId="9" xfId="0" applyNumberFormat="1" applyFont="1" applyFill="1" applyBorder="1" applyAlignment="1">
      <alignment horizontal="centerContinuous"/>
    </xf>
    <xf numFmtId="0" fontId="0" fillId="0" borderId="11" xfId="0" applyBorder="1" applyAlignment="1">
      <alignment horizontal="centerContinuous"/>
    </xf>
    <xf numFmtId="0" fontId="3" fillId="0" borderId="6" xfId="0" applyFont="1" applyFill="1" applyBorder="1" applyAlignment="1">
      <alignment horizontal="centerContinuous"/>
    </xf>
    <xf numFmtId="0" fontId="3" fillId="0" borderId="7" xfId="0" applyFont="1" applyBorder="1" applyAlignment="1">
      <alignment horizontal="centerContinuous"/>
    </xf>
    <xf numFmtId="0" fontId="3" fillId="0" borderId="8" xfId="0" applyFont="1" applyBorder="1" applyAlignment="1">
      <alignment horizontal="centerContinuous"/>
    </xf>
    <xf numFmtId="0" fontId="3" fillId="0" borderId="6" xfId="0" applyFont="1" applyBorder="1" applyAlignment="1">
      <alignment horizontal="centerContinuous"/>
    </xf>
    <xf numFmtId="0" fontId="6" fillId="0" borderId="0" xfId="0" applyFont="1" applyBorder="1" applyAlignment="1"/>
    <xf numFmtId="0" fontId="6" fillId="0" borderId="2" xfId="0" applyFont="1" applyBorder="1" applyAlignment="1">
      <alignment horizontal="centerContinuous"/>
    </xf>
    <xf numFmtId="164" fontId="0" fillId="3" borderId="1" xfId="0" applyNumberFormat="1" applyFill="1" applyBorder="1" applyAlignment="1">
      <alignment horizontal="centerContinuous"/>
    </xf>
    <xf numFmtId="0" fontId="0" fillId="0" borderId="1" xfId="0" applyFill="1" applyBorder="1" applyAlignment="1">
      <alignment horizontal="centerContinuous"/>
    </xf>
    <xf numFmtId="164" fontId="0" fillId="3" borderId="14" xfId="0" applyNumberFormat="1" applyFill="1" applyBorder="1" applyAlignment="1">
      <alignment horizontal="centerContinuous"/>
    </xf>
    <xf numFmtId="0" fontId="0" fillId="3" borderId="14" xfId="0" applyFill="1" applyBorder="1" applyAlignment="1">
      <alignment horizontal="centerContinuous"/>
    </xf>
    <xf numFmtId="164" fontId="0" fillId="3" borderId="15" xfId="0" applyNumberFormat="1" applyFill="1" applyBorder="1" applyAlignment="1">
      <alignment horizontal="centerContinuous"/>
    </xf>
    <xf numFmtId="0" fontId="0" fillId="0" borderId="14" xfId="0" applyFill="1" applyBorder="1" applyAlignment="1">
      <alignment horizontal="centerContinuous"/>
    </xf>
    <xf numFmtId="164" fontId="0" fillId="3" borderId="4" xfId="0" applyNumberFormat="1" applyFill="1" applyBorder="1" applyAlignment="1">
      <alignment horizontal="centerContinuous"/>
    </xf>
    <xf numFmtId="0" fontId="0" fillId="0" borderId="4" xfId="0" applyFill="1" applyBorder="1" applyAlignment="1">
      <alignment horizontal="centerContinuous"/>
    </xf>
    <xf numFmtId="0" fontId="0" fillId="0" borderId="16" xfId="0" applyFill="1" applyBorder="1" applyAlignment="1">
      <alignment horizontal="centerContinuous"/>
    </xf>
    <xf numFmtId="164" fontId="0" fillId="3" borderId="4" xfId="0" applyNumberFormat="1" applyFont="1" applyFill="1" applyBorder="1" applyAlignment="1">
      <alignment horizontal="centerContinuous"/>
    </xf>
    <xf numFmtId="0" fontId="0" fillId="0" borderId="12" xfId="0" applyBorder="1" applyAlignment="1">
      <alignment horizontal="centerContinuous"/>
    </xf>
    <xf numFmtId="0" fontId="0" fillId="5" borderId="18" xfId="0" applyFill="1" applyBorder="1" applyAlignment="1">
      <alignment horizontal="centerContinuous"/>
    </xf>
    <xf numFmtId="0" fontId="0" fillId="0" borderId="19" xfId="0" applyBorder="1" applyAlignment="1">
      <alignment horizontal="centerContinuous"/>
    </xf>
    <xf numFmtId="0" fontId="3" fillId="0" borderId="20" xfId="0" applyFont="1" applyBorder="1" applyAlignment="1">
      <alignment horizontal="centerContinuous"/>
    </xf>
    <xf numFmtId="0" fontId="0" fillId="0" borderId="21" xfId="0" applyBorder="1" applyAlignment="1">
      <alignment horizontal="centerContinuous"/>
    </xf>
    <xf numFmtId="0" fontId="0" fillId="5" borderId="22" xfId="0" applyFill="1" applyBorder="1" applyAlignment="1">
      <alignment horizontal="centerContinuous"/>
    </xf>
    <xf numFmtId="0" fontId="0" fillId="0" borderId="23" xfId="0" applyBorder="1" applyAlignment="1">
      <alignment horizontal="centerContinuous"/>
    </xf>
    <xf numFmtId="0" fontId="3" fillId="0" borderId="24" xfId="0" applyFont="1" applyBorder="1" applyAlignment="1">
      <alignment horizontal="centerContinuous"/>
    </xf>
    <xf numFmtId="8" fontId="0" fillId="0" borderId="21" xfId="1" applyNumberFormat="1" applyFont="1" applyBorder="1" applyAlignment="1">
      <alignment horizontal="centerContinuous"/>
    </xf>
    <xf numFmtId="164" fontId="0" fillId="5" borderId="25" xfId="0" applyNumberFormat="1" applyFill="1" applyBorder="1" applyAlignment="1">
      <alignment horizontal="centerContinuous"/>
    </xf>
    <xf numFmtId="0" fontId="0" fillId="0" borderId="23" xfId="0" applyBorder="1"/>
    <xf numFmtId="0" fontId="3" fillId="0" borderId="24" xfId="0" applyFont="1" applyBorder="1"/>
    <xf numFmtId="164" fontId="0" fillId="3" borderId="9" xfId="0" applyNumberFormat="1" applyFill="1" applyBorder="1" applyAlignment="1">
      <alignment horizontal="centerContinuous"/>
    </xf>
    <xf numFmtId="0" fontId="0" fillId="0" borderId="9" xfId="0" applyFill="1" applyBorder="1" applyAlignment="1">
      <alignment horizontal="centerContinuous"/>
    </xf>
    <xf numFmtId="0" fontId="0" fillId="0" borderId="10" xfId="0" applyBorder="1" applyAlignment="1">
      <alignment horizontal="centerContinuous" wrapText="1"/>
    </xf>
    <xf numFmtId="0" fontId="0" fillId="0" borderId="11" xfId="0" applyBorder="1" applyAlignment="1">
      <alignment horizontal="centerContinuous" wrapText="1"/>
    </xf>
    <xf numFmtId="0" fontId="0" fillId="0" borderId="26" xfId="0" applyBorder="1" applyAlignment="1">
      <alignment horizontal="centerContinuous"/>
    </xf>
    <xf numFmtId="0" fontId="0" fillId="5" borderId="27" xfId="0" applyNumberFormat="1" applyFill="1" applyBorder="1" applyAlignment="1">
      <alignment horizontal="centerContinuous"/>
    </xf>
    <xf numFmtId="0" fontId="0" fillId="0" borderId="28" xfId="0" applyBorder="1"/>
    <xf numFmtId="0" fontId="3" fillId="0" borderId="29" xfId="0" applyFont="1" applyBorder="1"/>
    <xf numFmtId="0" fontId="3" fillId="0" borderId="7" xfId="0" applyFont="1" applyFill="1" applyBorder="1" applyAlignment="1">
      <alignment horizontal="centerContinuous"/>
    </xf>
    <xf numFmtId="0" fontId="0" fillId="0" borderId="9" xfId="0" applyFont="1" applyBorder="1" applyAlignment="1">
      <alignment horizontal="centerContinuous" vertical="distributed"/>
    </xf>
    <xf numFmtId="0" fontId="0" fillId="0" borderId="10" xfId="0" applyFont="1" applyBorder="1" applyAlignment="1">
      <alignment horizontal="centerContinuous" vertical="distributed"/>
    </xf>
    <xf numFmtId="0" fontId="3" fillId="3" borderId="30" xfId="0" applyFont="1" applyFill="1" applyBorder="1" applyAlignment="1">
      <alignment horizontal="centerContinuous"/>
    </xf>
    <xf numFmtId="0" fontId="5" fillId="0" borderId="0" xfId="0" applyFont="1" applyFill="1" applyBorder="1" applyAlignment="1">
      <alignment horizontal="center" wrapText="1"/>
    </xf>
    <xf numFmtId="0" fontId="5" fillId="0" borderId="6" xfId="0" applyFont="1" applyFill="1" applyBorder="1" applyAlignment="1">
      <alignment horizontal="centerContinuous" wrapText="1"/>
    </xf>
    <xf numFmtId="7" fontId="0" fillId="0" borderId="2" xfId="1" applyNumberFormat="1" applyFont="1" applyBorder="1"/>
    <xf numFmtId="0" fontId="0" fillId="0" borderId="31" xfId="0" applyBorder="1" applyAlignment="1">
      <alignment horizontal="centerContinuous"/>
    </xf>
    <xf numFmtId="0" fontId="0" fillId="0" borderId="6" xfId="0" applyBorder="1" applyAlignment="1">
      <alignment horizontal="centerContinuous"/>
    </xf>
    <xf numFmtId="0" fontId="3" fillId="0" borderId="6" xfId="0" applyFont="1" applyBorder="1" applyAlignment="1">
      <alignment horizontal="centerContinuous" wrapText="1"/>
    </xf>
    <xf numFmtId="0" fontId="0" fillId="0" borderId="3" xfId="1" applyNumberFormat="1" applyFont="1" applyBorder="1"/>
    <xf numFmtId="0" fontId="0" fillId="0" borderId="5" xfId="1" applyNumberFormat="1" applyFont="1" applyBorder="1"/>
    <xf numFmtId="0" fontId="0" fillId="0" borderId="11" xfId="0" applyNumberFormat="1" applyFill="1" applyBorder="1" applyAlignment="1">
      <alignment horizontal="right"/>
    </xf>
    <xf numFmtId="0" fontId="0" fillId="0" borderId="11" xfId="1" applyNumberFormat="1" applyFont="1" applyBorder="1"/>
    <xf numFmtId="0" fontId="3" fillId="0" borderId="11" xfId="0" applyFont="1" applyBorder="1" applyAlignment="1">
      <alignment horizontal="center"/>
    </xf>
    <xf numFmtId="0" fontId="3" fillId="0" borderId="7" xfId="0" applyFont="1" applyBorder="1" applyAlignment="1">
      <alignment horizontal="centerContinuous" wrapText="1"/>
    </xf>
    <xf numFmtId="0" fontId="3" fillId="0" borderId="8" xfId="0" applyFont="1" applyBorder="1" applyAlignment="1">
      <alignment horizontal="centerContinuous" wrapText="1"/>
    </xf>
    <xf numFmtId="0" fontId="9" fillId="0" borderId="0" xfId="3" applyFont="1" applyFill="1" applyBorder="1" applyAlignment="1">
      <alignment horizontal="centerContinuous" wrapText="1"/>
    </xf>
    <xf numFmtId="8" fontId="0" fillId="0" borderId="0" xfId="0" applyNumberFormat="1" applyFill="1" applyBorder="1"/>
    <xf numFmtId="0" fontId="0" fillId="0" borderId="5" xfId="0" applyFont="1" applyBorder="1" applyAlignment="1">
      <alignment horizontal="centerContinuous"/>
    </xf>
    <xf numFmtId="0" fontId="0" fillId="0" borderId="0" xfId="0" applyFont="1" applyBorder="1" applyAlignment="1">
      <alignment horizontal="centerContinuous"/>
    </xf>
    <xf numFmtId="165" fontId="0" fillId="0" borderId="0" xfId="1" applyNumberFormat="1" applyFont="1" applyBorder="1"/>
    <xf numFmtId="0" fontId="2" fillId="0" borderId="0" xfId="0" applyFont="1"/>
    <xf numFmtId="0" fontId="2" fillId="0" borderId="0" xfId="0" applyFont="1" applyFill="1" applyBorder="1"/>
    <xf numFmtId="0" fontId="6" fillId="3" borderId="5" xfId="0" applyFont="1" applyFill="1" applyBorder="1" applyAlignment="1">
      <alignment horizontal="centerContinuous"/>
    </xf>
    <xf numFmtId="0" fontId="2" fillId="0" borderId="0" xfId="0" applyFont="1" applyBorder="1" applyAlignment="1"/>
    <xf numFmtId="0" fontId="0" fillId="0" borderId="5" xfId="0" applyNumberFormat="1" applyFill="1" applyBorder="1" applyAlignment="1">
      <alignment horizontal="right"/>
    </xf>
    <xf numFmtId="0" fontId="14" fillId="0" borderId="13" xfId="3" applyFont="1" applyFill="1" applyBorder="1" applyAlignment="1">
      <alignment horizontal="centerContinuous" wrapText="1"/>
    </xf>
    <xf numFmtId="0" fontId="15" fillId="0" borderId="0" xfId="0" applyFont="1"/>
    <xf numFmtId="0" fontId="0" fillId="3" borderId="11" xfId="0" applyFill="1" applyBorder="1" applyAlignment="1">
      <alignment horizontal="centerContinuous"/>
    </xf>
    <xf numFmtId="0" fontId="0" fillId="3" borderId="10" xfId="0" applyFill="1" applyBorder="1" applyAlignment="1">
      <alignment horizontal="centerContinuous"/>
    </xf>
    <xf numFmtId="44" fontId="0" fillId="3" borderId="9" xfId="0" applyNumberFormat="1" applyFont="1" applyFill="1" applyBorder="1" applyAlignment="1">
      <alignment horizontal="centerContinuous"/>
    </xf>
    <xf numFmtId="44" fontId="0" fillId="3" borderId="4" xfId="0" applyNumberFormat="1" applyFont="1" applyFill="1" applyBorder="1" applyAlignment="1">
      <alignment horizontal="centerContinuous"/>
    </xf>
    <xf numFmtId="0" fontId="0" fillId="3" borderId="0" xfId="0" applyFont="1" applyFill="1" applyBorder="1" applyAlignment="1">
      <alignment horizontal="centerContinuous"/>
    </xf>
    <xf numFmtId="0" fontId="0" fillId="3" borderId="5" xfId="0" applyFill="1" applyBorder="1" applyAlignment="1">
      <alignment horizontal="centerContinuous" wrapText="1" readingOrder="1"/>
    </xf>
    <xf numFmtId="0" fontId="0" fillId="3" borderId="0" xfId="0" applyFill="1" applyBorder="1" applyAlignment="1">
      <alignment horizontal="centerContinuous" wrapText="1" readingOrder="1"/>
    </xf>
    <xf numFmtId="164" fontId="0" fillId="3" borderId="17" xfId="0" applyNumberFormat="1" applyFill="1" applyBorder="1" applyAlignment="1">
      <alignment horizontal="centerContinuous"/>
    </xf>
    <xf numFmtId="44" fontId="0" fillId="3" borderId="16" xfId="0" applyNumberFormat="1" applyFont="1" applyFill="1" applyBorder="1" applyAlignment="1">
      <alignment horizontal="centerContinuous"/>
    </xf>
    <xf numFmtId="44" fontId="0" fillId="3" borderId="14" xfId="0" applyNumberFormat="1" applyFont="1" applyFill="1" applyBorder="1" applyAlignment="1">
      <alignment horizontal="centerContinuous"/>
    </xf>
    <xf numFmtId="44" fontId="0" fillId="3" borderId="1" xfId="0" applyNumberFormat="1" applyFont="1" applyFill="1" applyBorder="1" applyAlignment="1">
      <alignment horizontal="centerContinuous"/>
    </xf>
    <xf numFmtId="0" fontId="5" fillId="3" borderId="0" xfId="0" applyFont="1" applyFill="1" applyBorder="1" applyAlignment="1">
      <alignment horizontal="centerContinuous"/>
    </xf>
    <xf numFmtId="0" fontId="16" fillId="3" borderId="0" xfId="0" applyFont="1" applyFill="1" applyAlignment="1">
      <alignment horizontal="centerContinuous"/>
    </xf>
    <xf numFmtId="0" fontId="16" fillId="0" borderId="0" xfId="0" applyFont="1" applyFill="1" applyBorder="1" applyAlignment="1">
      <alignment horizontal="centerContinuous" wrapText="1"/>
    </xf>
    <xf numFmtId="0" fontId="6" fillId="6" borderId="0" xfId="0" applyFont="1" applyFill="1" applyBorder="1" applyAlignment="1">
      <alignment horizontal="centerContinuous"/>
    </xf>
    <xf numFmtId="0" fontId="0" fillId="6" borderId="0" xfId="0" applyFill="1" applyAlignment="1">
      <alignment horizontal="centerContinuous"/>
    </xf>
    <xf numFmtId="0" fontId="3" fillId="6" borderId="8" xfId="0" applyFont="1" applyFill="1" applyBorder="1" applyAlignment="1">
      <alignment horizontal="centerContinuous"/>
    </xf>
    <xf numFmtId="0" fontId="3" fillId="6" borderId="7" xfId="0" applyFont="1" applyFill="1" applyBorder="1" applyAlignment="1">
      <alignment horizontal="centerContinuous"/>
    </xf>
    <xf numFmtId="0" fontId="3" fillId="6" borderId="6" xfId="0" applyFont="1" applyFill="1" applyBorder="1" applyAlignment="1">
      <alignment horizontal="centerContinuous"/>
    </xf>
    <xf numFmtId="0" fontId="3" fillId="6" borderId="3" xfId="0" applyFont="1" applyFill="1" applyBorder="1" applyAlignment="1">
      <alignment horizontal="centerContinuous"/>
    </xf>
    <xf numFmtId="0" fontId="3" fillId="6" borderId="2" xfId="0" applyFont="1" applyFill="1" applyBorder="1" applyAlignment="1">
      <alignment horizontal="centerContinuous"/>
    </xf>
    <xf numFmtId="0" fontId="0" fillId="6" borderId="11" xfId="0" applyFill="1" applyBorder="1" applyAlignment="1">
      <alignment horizontal="centerContinuous"/>
    </xf>
    <xf numFmtId="0" fontId="0" fillId="6" borderId="10" xfId="0" applyFill="1" applyBorder="1" applyAlignment="1">
      <alignment horizontal="centerContinuous"/>
    </xf>
    <xf numFmtId="164" fontId="0" fillId="6" borderId="10" xfId="0" applyNumberFormat="1" applyFill="1" applyBorder="1" applyAlignment="1">
      <alignment horizontal="centerContinuous"/>
    </xf>
    <xf numFmtId="44" fontId="0" fillId="6" borderId="9" xfId="0" applyNumberFormat="1" applyFont="1" applyFill="1" applyBorder="1" applyAlignment="1">
      <alignment horizontal="centerContinuous"/>
    </xf>
    <xf numFmtId="0" fontId="3" fillId="6" borderId="5" xfId="0" applyFont="1" applyFill="1" applyBorder="1" applyAlignment="1">
      <alignment horizontal="centerContinuous"/>
    </xf>
    <xf numFmtId="0" fontId="3" fillId="6" borderId="0" xfId="0" applyFont="1" applyFill="1" applyBorder="1" applyAlignment="1">
      <alignment horizontal="centerContinuous"/>
    </xf>
    <xf numFmtId="164" fontId="0" fillId="6" borderId="0" xfId="0" applyNumberFormat="1" applyFill="1" applyBorder="1" applyAlignment="1">
      <alignment horizontal="centerContinuous"/>
    </xf>
    <xf numFmtId="44" fontId="0" fillId="6" borderId="4" xfId="0" applyNumberFormat="1" applyFont="1" applyFill="1" applyBorder="1" applyAlignment="1">
      <alignment horizontal="centerContinuous"/>
    </xf>
    <xf numFmtId="0" fontId="0" fillId="6" borderId="5" xfId="0" applyFill="1" applyBorder="1" applyAlignment="1">
      <alignment horizontal="centerContinuous" wrapText="1"/>
    </xf>
    <xf numFmtId="0" fontId="0" fillId="6" borderId="0" xfId="0" applyFill="1" applyBorder="1" applyAlignment="1">
      <alignment horizontal="centerContinuous" wrapText="1"/>
    </xf>
    <xf numFmtId="0" fontId="0" fillId="6" borderId="5" xfId="0" applyFont="1" applyFill="1" applyBorder="1" applyAlignment="1">
      <alignment horizontal="centerContinuous"/>
    </xf>
    <xf numFmtId="0" fontId="0" fillId="6" borderId="0" xfId="0" applyFont="1" applyFill="1" applyBorder="1" applyAlignment="1">
      <alignment horizontal="centerContinuous"/>
    </xf>
    <xf numFmtId="0" fontId="0" fillId="6" borderId="5" xfId="0" applyFill="1" applyBorder="1" applyAlignment="1">
      <alignment horizontal="centerContinuous" wrapText="1" readingOrder="1"/>
    </xf>
    <xf numFmtId="0" fontId="0" fillId="6" borderId="0" xfId="0" applyFill="1" applyBorder="1" applyAlignment="1">
      <alignment horizontal="centerContinuous" wrapText="1" readingOrder="1"/>
    </xf>
    <xf numFmtId="164" fontId="0" fillId="6" borderId="17" xfId="0" applyNumberFormat="1" applyFill="1" applyBorder="1" applyAlignment="1">
      <alignment horizontal="centerContinuous"/>
    </xf>
    <xf numFmtId="44" fontId="0" fillId="6" borderId="16" xfId="0" applyNumberFormat="1" applyFont="1" applyFill="1" applyBorder="1" applyAlignment="1">
      <alignment horizontal="centerContinuous"/>
    </xf>
    <xf numFmtId="164" fontId="0" fillId="6" borderId="15" xfId="0" applyNumberFormat="1" applyFill="1" applyBorder="1" applyAlignment="1">
      <alignment horizontal="centerContinuous"/>
    </xf>
    <xf numFmtId="44" fontId="0" fillId="6" borderId="14" xfId="0" applyNumberFormat="1" applyFont="1" applyFill="1" applyBorder="1" applyAlignment="1">
      <alignment horizontal="centerContinuous"/>
    </xf>
    <xf numFmtId="164" fontId="0" fillId="6" borderId="2" xfId="0" applyNumberFormat="1" applyFill="1" applyBorder="1" applyAlignment="1">
      <alignment horizontal="centerContinuous"/>
    </xf>
    <xf numFmtId="44" fontId="0" fillId="6" borderId="1" xfId="0" applyNumberFormat="1" applyFont="1" applyFill="1" applyBorder="1" applyAlignment="1">
      <alignment horizontal="centerContinuous"/>
    </xf>
    <xf numFmtId="166" fontId="0" fillId="0" borderId="0" xfId="0" applyNumberFormat="1"/>
  </cellXfs>
  <cellStyles count="4">
    <cellStyle name="Accent6" xfId="3" builtinId="49"/>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206</xdr:row>
      <xdr:rowOff>0</xdr:rowOff>
    </xdr:from>
    <xdr:to>
      <xdr:col>19</xdr:col>
      <xdr:colOff>161925</xdr:colOff>
      <xdr:row>240</xdr:row>
      <xdr:rowOff>171450</xdr:rowOff>
    </xdr:to>
    <xdr:pic>
      <xdr:nvPicPr>
        <xdr:cNvPr id="8" name="Picture 7"/>
        <xdr:cNvPicPr>
          <a:picLocks noChangeAspect="1"/>
        </xdr:cNvPicPr>
      </xdr:nvPicPr>
      <xdr:blipFill>
        <a:blip xmlns:r="http://schemas.openxmlformats.org/officeDocument/2006/relationships" r:embed="rId1"/>
        <a:stretch>
          <a:fillRect/>
        </a:stretch>
      </xdr:blipFill>
      <xdr:spPr>
        <a:xfrm>
          <a:off x="0" y="42995850"/>
          <a:ext cx="12525375" cy="6648450"/>
        </a:xfrm>
        <a:prstGeom prst="rect">
          <a:avLst/>
        </a:prstGeom>
      </xdr:spPr>
    </xdr:pic>
    <xdr:clientData/>
  </xdr:twoCellAnchor>
  <xdr:oneCellAnchor>
    <xdr:from>
      <xdr:col>0</xdr:col>
      <xdr:colOff>0</xdr:colOff>
      <xdr:row>103</xdr:row>
      <xdr:rowOff>0</xdr:rowOff>
    </xdr:from>
    <xdr:ext cx="12479492" cy="6144482"/>
    <xdr:pic>
      <xdr:nvPicPr>
        <xdr:cNvPr id="2" name="Picture 1"/>
        <xdr:cNvPicPr>
          <a:picLocks noChangeAspect="1"/>
        </xdr:cNvPicPr>
      </xdr:nvPicPr>
      <xdr:blipFill>
        <a:blip xmlns:r="http://schemas.openxmlformats.org/officeDocument/2006/relationships" r:embed="rId2"/>
        <a:stretch>
          <a:fillRect/>
        </a:stretch>
      </xdr:blipFill>
      <xdr:spPr>
        <a:xfrm>
          <a:off x="0" y="7781925"/>
          <a:ext cx="12479492" cy="6144482"/>
        </a:xfrm>
        <a:prstGeom prst="rect">
          <a:avLst/>
        </a:prstGeom>
      </xdr:spPr>
    </xdr:pic>
    <xdr:clientData/>
  </xdr:oneCellAnchor>
  <xdr:oneCellAnchor>
    <xdr:from>
      <xdr:col>16</xdr:col>
      <xdr:colOff>85725</xdr:colOff>
      <xdr:row>228</xdr:row>
      <xdr:rowOff>104775</xdr:rowOff>
    </xdr:from>
    <xdr:ext cx="1285875" cy="352425"/>
    <xdr:sp macro="" textlink="">
      <xdr:nvSpPr>
        <xdr:cNvPr id="4" name="TextBox 3"/>
        <xdr:cNvSpPr txBox="1"/>
      </xdr:nvSpPr>
      <xdr:spPr>
        <a:xfrm>
          <a:off x="10620375" y="47291625"/>
          <a:ext cx="1285875" cy="352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600" b="1"/>
            <a:t>LMP</a:t>
          </a:r>
          <a:r>
            <a:rPr lang="en-US" sz="1600" b="1" baseline="0"/>
            <a:t> = $15</a:t>
          </a:r>
          <a:endParaRPr lang="en-US" sz="1600" b="1"/>
        </a:p>
      </xdr:txBody>
    </xdr:sp>
    <xdr:clientData/>
  </xdr:oneCellAnchor>
  <xdr:oneCellAnchor>
    <xdr:from>
      <xdr:col>0</xdr:col>
      <xdr:colOff>0</xdr:colOff>
      <xdr:row>0</xdr:row>
      <xdr:rowOff>7937</xdr:rowOff>
    </xdr:from>
    <xdr:ext cx="13009563" cy="10612438"/>
    <xdr:sp macro="" textlink="">
      <xdr:nvSpPr>
        <xdr:cNvPr id="5" name="TextBox 4"/>
        <xdr:cNvSpPr txBox="1"/>
      </xdr:nvSpPr>
      <xdr:spPr>
        <a:xfrm>
          <a:off x="0" y="7937"/>
          <a:ext cx="13009563" cy="10612438"/>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aseline="0">
              <a:solidFill>
                <a:schemeClr val="bg1"/>
              </a:solidFill>
            </a:rPr>
            <a:t>The tab explains the calculation of Regulation opportunity cost when the resource energy output is raised or lowered to provide Regulation.</a:t>
          </a:r>
          <a:r>
            <a:rPr lang="en-US" sz="1100" baseline="0">
              <a:solidFill>
                <a:schemeClr val="bg1"/>
              </a:solidFill>
            </a:rPr>
            <a:t> </a:t>
          </a:r>
          <a:r>
            <a:rPr lang="en-US" sz="1400" baseline="0">
              <a:solidFill>
                <a:schemeClr val="bg1"/>
              </a:solidFill>
            </a:rPr>
            <a:t>The opportunity cost will account for either the energy forgone profit or make-whole that is needed to keep the resource indifferent between providing energy or providing Regulation.</a:t>
          </a:r>
        </a:p>
        <a:p>
          <a:endParaRPr lang="en-US" sz="1400" baseline="0">
            <a:solidFill>
              <a:schemeClr val="bg1"/>
            </a:solidFill>
          </a:endParaRPr>
        </a:p>
        <a:p>
          <a:r>
            <a:rPr lang="en-US" sz="1400" baseline="0">
              <a:solidFill>
                <a:schemeClr val="bg1"/>
              </a:solidFill>
            </a:rPr>
            <a:t>The calculation of regulation opportunity cost is not changing as part of this stakeholder process; however, it is important to understand the calculation and the costs it covers in order to better understand the how and why the Balancing Operating Reserve Credit calculation needs to account for opportunity costs.</a:t>
          </a:r>
        </a:p>
        <a:p>
          <a:endParaRPr lang="en-US" sz="1400" baseline="0">
            <a:solidFill>
              <a:srgbClr val="FFFF00"/>
            </a:solidFill>
          </a:endParaRPr>
        </a:p>
        <a:p>
          <a:r>
            <a:rPr lang="en-US" sz="1400" baseline="0">
              <a:solidFill>
                <a:schemeClr val="bg1"/>
              </a:solidFill>
            </a:rPr>
            <a:t>The regulation opportunity cost calculation is as follows:</a:t>
          </a:r>
        </a:p>
        <a:p>
          <a:r>
            <a:rPr lang="en-US" sz="1400" baseline="0">
              <a:solidFill>
                <a:schemeClr val="bg1"/>
              </a:solidFill>
            </a:rPr>
            <a:t>When the resource is increased above where it would have been operating for energy absent a regulation assignment, a make-whole payment needs to be calculated for the opportunity cost, since LMP does not support where the resource is operating for regulation.</a:t>
          </a:r>
        </a:p>
        <a:p>
          <a:r>
            <a:rPr lang="en-US" sz="1400" baseline="0">
              <a:solidFill>
                <a:schemeClr val="bg1"/>
              </a:solidFill>
            </a:rPr>
            <a:t>The make-whole calculation is the incremental cost (area under the curve) from where the resource would have been operating for energy up to where the resource is operating to provide regulation minus the energy revenue received for the deviation MW between </a:t>
          </a:r>
          <a:r>
            <a:rPr lang="en-US" sz="1400" baseline="0">
              <a:solidFill>
                <a:schemeClr val="bg1"/>
              </a:solidFill>
              <a:effectLst/>
              <a:latin typeface="+mn-lt"/>
              <a:ea typeface="+mn-ea"/>
              <a:cs typeface="+mn-cs"/>
            </a:rPr>
            <a:t>where the resource would have been operating for energy up to where the resource is operating to provide regulation.</a:t>
          </a:r>
        </a:p>
        <a:p>
          <a:endParaRPr lang="en-US" sz="1400" baseline="0">
            <a:solidFill>
              <a:schemeClr val="bg1"/>
            </a:solidFill>
            <a:effectLst/>
            <a:latin typeface="+mn-lt"/>
            <a:ea typeface="+mn-ea"/>
            <a:cs typeface="+mn-cs"/>
          </a:endParaRPr>
        </a:p>
        <a:p>
          <a:r>
            <a:rPr lang="en-US" sz="1400" baseline="0">
              <a:solidFill>
                <a:schemeClr val="bg1"/>
              </a:solidFill>
              <a:effectLst/>
              <a:latin typeface="+mn-lt"/>
              <a:ea typeface="+mn-ea"/>
              <a:cs typeface="+mn-cs"/>
            </a:rPr>
            <a:t>When the resource is decreased below where it would have been operating for energy absent a regulation assignment, the forgone profit needs to be calculated for the opportunity cost, since LMP supports the resource operating at greater output than where it is operating for regulation.</a:t>
          </a:r>
          <a:endParaRPr lang="en-US" sz="1400">
            <a:solidFill>
              <a:schemeClr val="bg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forgone profit calculation is the energy revenue received for the deviation MW between where the resource is operating to provide regulation up to where the resource would have been operating for energy minus the incremental cost (area under the curve) from where the resource is operating to provide regulation up to where the resource would have been operating for energy absent a regulation assignment.</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opportunity cost that is calculated then is divided by the historical performance score (to match the assumed performance score used in market clearing) and multiplied by the resource's actual performance score (in recognition of the resource's actual performance).  This is the final opportunity cost that gets used in the regulation settlement. If the resource does not receive sufficient regulation market clearing price credits to cover its opportunity cost, the resource will receive a Regulation Lost Opportunity Cost Credit.</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For the interaction between the regulation market and the operating reserve calculations, in the calculation of Balancing Operating Reserve Credits using Tracking Desired MW (Step 1), the opportunity cost would be multiplied by the historical performance score thus returning the opportunity cost to its originally calculated value</a:t>
          </a:r>
          <a:r>
            <a:rPr lang="en-US" sz="1400" baseline="0">
              <a:solidFill>
                <a:srgbClr val="FFFF00"/>
              </a:solidFill>
              <a:effectLst/>
              <a:latin typeface="+mn-lt"/>
              <a:ea typeface="+mn-ea"/>
              <a:cs typeface="+mn-cs"/>
            </a:rPr>
            <a:t> </a:t>
          </a:r>
          <a:r>
            <a:rPr lang="en-US" sz="1400" baseline="0">
              <a:solidFill>
                <a:schemeClr val="bg1"/>
              </a:solidFill>
              <a:effectLst/>
              <a:latin typeface="+mn-lt"/>
              <a:ea typeface="+mn-ea"/>
              <a:cs typeface="+mn-cs"/>
            </a:rPr>
            <a:t>in market clearing. This value is the potential opportunity cost that could be recovered in Regulation if the resource operated as expected (that is, if the resource operated consistent with its historical performance score which was the expected performance used in the market clearing).</a:t>
          </a: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In the calculation of Balancing Operating Reserve Credits using actual RT MW (Step 2), the calculation will use the final opportunity cost (adjusted by actual performance), since it is the opportunity cost that the resource is being guaranteed in the Regulation settlements.</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Key term definitions:</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Economic Tracking Desired: The output the resource would have obtained; if the resource had been following dispatch the entire time and absent the regulation assignment.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Regulation Set Point (Actual/Potential): This is output the resource needs to achieve in order to provide its regulation assignment. It is calculated as follows:</a:t>
          </a: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bg1"/>
              </a:solidFill>
            </a:rPr>
            <a:t>If Economic Tracking Desired is above the MW point at which the resource can provide the regulation assignment, Tracking Desired MW will be lowered to the highest point below the Economic Tracking MW at which it can provide the assigned regulation.  If Economic Tracking Desired is below the MW point at which the resource can provide the regulation assignment, Tracking Desired MW will be increased to the lowest MW point above Economic Tracking MW at which the resource can provide the assigned regulation.</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Tracking Desired shall equal the Regulation Set Point for the calculation Balancing Operating Reserve @ Tracking Desred (Step 1).  </a:t>
          </a:r>
        </a:p>
      </xdr:txBody>
    </xdr:sp>
    <xdr:clientData/>
  </xdr:oneCellAnchor>
  <xdr:oneCellAnchor>
    <xdr:from>
      <xdr:col>0</xdr:col>
      <xdr:colOff>31750</xdr:colOff>
      <xdr:row>135</xdr:row>
      <xdr:rowOff>174624</xdr:rowOff>
    </xdr:from>
    <xdr:ext cx="12422187" cy="3482976"/>
    <xdr:sp macro="" textlink="">
      <xdr:nvSpPr>
        <xdr:cNvPr id="6" name="TextBox 5"/>
        <xdr:cNvSpPr txBox="1"/>
      </xdr:nvSpPr>
      <xdr:spPr>
        <a:xfrm>
          <a:off x="31750" y="24339549"/>
          <a:ext cx="12422187" cy="3482976"/>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bg1"/>
              </a:solidFill>
            </a:rPr>
            <a:t>Takeaway:</a:t>
          </a:r>
        </a:p>
        <a:p>
          <a:r>
            <a:rPr lang="en-US" sz="1400">
              <a:solidFill>
                <a:schemeClr val="bg1"/>
              </a:solidFill>
            </a:rPr>
            <a:t>The opportunity cost for the</a:t>
          </a:r>
          <a:r>
            <a:rPr lang="en-US" sz="1400" baseline="0">
              <a:solidFill>
                <a:schemeClr val="bg1"/>
              </a:solidFill>
            </a:rPr>
            <a:t> scenario above is for a reduction from where the resource would have been producing energy absent Regulation.</a:t>
          </a:r>
        </a:p>
        <a:p>
          <a:r>
            <a:rPr lang="en-US" sz="1400" baseline="0">
              <a:solidFill>
                <a:schemeClr val="bg1"/>
              </a:solidFill>
            </a:rPr>
            <a:t>The graph above illustrates that, if the resource was pool scheduled for energy and regulation, operating reserves would calculate the net profit/loss from 0 to 80 MW, while regulation would calulate the opportunity cost as the forgone energy profit from 80 to 100 MW. </a:t>
          </a:r>
        </a:p>
        <a:p>
          <a:endParaRPr lang="en-US" sz="1400" baseline="0">
            <a:solidFill>
              <a:schemeClr val="bg1"/>
            </a:solidFill>
          </a:endParaRPr>
        </a:p>
        <a:p>
          <a:r>
            <a:rPr lang="en-US" sz="1400" baseline="0">
              <a:solidFill>
                <a:schemeClr val="bg1"/>
              </a:solidFill>
            </a:rPr>
            <a:t>There will be two final opportunity cost values. The potential regulation opportunity cost, which is used in the calculation of Balancing Operating Reserve Credits using  Tracking desired (Step 1), and the regulation opportunity cost used in regulation, which is used in the calculation of Balancing Operating Reserve Credits using actual RT MW (Step 2). The only</a:t>
          </a:r>
          <a:r>
            <a:rPr lang="en-US" sz="1400" baseline="0">
              <a:solidFill>
                <a:srgbClr val="FFFF00"/>
              </a:solidFill>
            </a:rPr>
            <a:t> </a:t>
          </a:r>
          <a:r>
            <a:rPr lang="en-US" sz="1400" baseline="0">
              <a:solidFill>
                <a:schemeClr val="bg1"/>
              </a:solidFill>
            </a:rPr>
            <a:t>difference between the potential opportunity cost value and the opportunity cost value used in regulation is the use of historical performance score for potential and the actual performance score for the opportunity cost used in the regulation calculation.</a:t>
          </a:r>
        </a:p>
        <a:p>
          <a:endParaRPr lang="en-US" sz="1400" baseline="0">
            <a:solidFill>
              <a:schemeClr val="bg1"/>
            </a:solidFill>
          </a:endParaRPr>
        </a:p>
        <a:p>
          <a:r>
            <a:rPr lang="en-US" sz="1400" baseline="0">
              <a:solidFill>
                <a:schemeClr val="bg1"/>
              </a:solidFill>
            </a:rPr>
            <a:t>The potential calculation is based on how the resource was expected to perform, which correlates with the calculation of Balancing Operating Reserve Credits using Tracking Desired MW (Step1) and the concept of the amount of uplift that would be needed if the resource operated as expected based on the historical performance score.</a:t>
          </a:r>
        </a:p>
        <a:p>
          <a:endParaRPr lang="en-US" sz="1400" baseline="0">
            <a:solidFill>
              <a:schemeClr val="bg1"/>
            </a:solidFill>
          </a:endParaRPr>
        </a:p>
      </xdr:txBody>
    </xdr:sp>
    <xdr:clientData/>
  </xdr:oneCellAnchor>
  <xdr:oneCellAnchor>
    <xdr:from>
      <xdr:col>0</xdr:col>
      <xdr:colOff>0</xdr:colOff>
      <xdr:row>241</xdr:row>
      <xdr:rowOff>0</xdr:rowOff>
    </xdr:from>
    <xdr:ext cx="12422187" cy="4162425"/>
    <xdr:sp macro="" textlink="">
      <xdr:nvSpPr>
        <xdr:cNvPr id="7" name="TextBox 6"/>
        <xdr:cNvSpPr txBox="1"/>
      </xdr:nvSpPr>
      <xdr:spPr>
        <a:xfrm>
          <a:off x="0" y="49663350"/>
          <a:ext cx="12422187" cy="4162425"/>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bg1"/>
              </a:solidFill>
            </a:rPr>
            <a:t>Takeaway:</a:t>
          </a:r>
        </a:p>
        <a:p>
          <a:r>
            <a:rPr lang="en-US" sz="1400">
              <a:solidFill>
                <a:schemeClr val="bg1"/>
              </a:solidFill>
              <a:effectLst/>
              <a:latin typeface="+mn-lt"/>
              <a:ea typeface="+mn-ea"/>
              <a:cs typeface="+mn-cs"/>
            </a:rPr>
            <a:t>The opportunity cost for the</a:t>
          </a:r>
          <a:r>
            <a:rPr lang="en-US" sz="1400" baseline="0">
              <a:solidFill>
                <a:schemeClr val="bg1"/>
              </a:solidFill>
              <a:effectLst/>
              <a:latin typeface="+mn-lt"/>
              <a:ea typeface="+mn-ea"/>
              <a:cs typeface="+mn-cs"/>
            </a:rPr>
            <a:t> scenario above is for an increase from where the resource would have been producing energy absent Regulation.</a:t>
          </a:r>
          <a:endParaRPr lang="en-US" sz="1400">
            <a:solidFill>
              <a:schemeClr val="bg1"/>
            </a:solidFill>
            <a:effectLst/>
          </a:endParaRPr>
        </a:p>
        <a:p>
          <a:r>
            <a:rPr lang="en-US" sz="1400" baseline="0">
              <a:solidFill>
                <a:schemeClr val="bg1"/>
              </a:solidFill>
              <a:effectLst/>
              <a:latin typeface="+mn-lt"/>
              <a:ea typeface="+mn-ea"/>
              <a:cs typeface="+mn-cs"/>
            </a:rPr>
            <a:t>The graph above illustrates if the resource was pool scheduled for energy and regulation, operating reserves would calculate the net profit/loss from 0 to 70 MW, while regulation would calculate the opportunity cost as a make-whole from 50 to 70 MW. There is an overlap in the operating reserve calculation and regulation calculation.</a:t>
          </a:r>
          <a:endParaRPr lang="en-US" sz="1400">
            <a:solidFill>
              <a:schemeClr val="bg1"/>
            </a:solidFill>
            <a:effectLst/>
          </a:endParaRPr>
        </a:p>
        <a:p>
          <a:endParaRPr lang="en-US" sz="1400" baseline="0">
            <a:solidFill>
              <a:schemeClr val="bg1"/>
            </a:solidFill>
            <a:effectLst/>
            <a:latin typeface="+mn-lt"/>
            <a:ea typeface="+mn-ea"/>
            <a:cs typeface="+mn-cs"/>
          </a:endParaRPr>
        </a:p>
        <a:p>
          <a:r>
            <a:rPr lang="en-US" sz="1400" baseline="0">
              <a:solidFill>
                <a:schemeClr val="bg1"/>
              </a:solidFill>
              <a:effectLst/>
              <a:latin typeface="+mn-lt"/>
              <a:ea typeface="+mn-ea"/>
              <a:cs typeface="+mn-cs"/>
            </a:rPr>
            <a:t>There will be two final opportunity cost values: The potential regulation opportunity cost, which is used in the calculation of Balancing Operating Reserve Credits using Tracking Desired MW (Step 1), and the regulation opportunity cost used in regulation, which is used in the calculation of Balancing Operating Reserve Credits using Actual RT MW (Step 2). The only difference between the potential opportunity cost value and the opportunity cost value used in regulation is the use of historical performance score for potential and the actual performance score for the opportunity cost used in the regulation calculation.</a:t>
          </a:r>
          <a:endParaRPr lang="en-US" sz="1400">
            <a:solidFill>
              <a:schemeClr val="bg1"/>
            </a:solidFill>
            <a:effectLst/>
          </a:endParaRPr>
        </a:p>
        <a:p>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The potential calculation is based on how the resource was expected to perform, which correlates with the calculation of Balancing Operating Reserve Credits using Tracking Desired MW (Step1), and the concept of the amount of uplift that would be needed if the resource operated as expected </a:t>
          </a:r>
          <a:r>
            <a:rPr kumimoji="0" lang="en-US" sz="1400" b="0" i="0" u="none" strike="noStrike" kern="0" cap="none" spc="0" normalizeH="0" baseline="0" noProof="0">
              <a:ln>
                <a:noFill/>
              </a:ln>
              <a:solidFill>
                <a:schemeClr val="bg1"/>
              </a:solidFill>
              <a:effectLst/>
              <a:uLnTx/>
              <a:uFillTx/>
              <a:latin typeface="+mn-lt"/>
              <a:ea typeface="+mn-ea"/>
              <a:cs typeface="+mn-cs"/>
            </a:rPr>
            <a:t>based on the historical performance score.</a:t>
          </a:r>
        </a:p>
        <a:p>
          <a:pPr marL="0" marR="0" lvl="0" indent="0" defTabSz="914400" eaLnBrk="1" fontAlgn="auto" latinLnBrk="0" hangingPunct="1">
            <a:lnSpc>
              <a:spcPct val="100000"/>
            </a:lnSpc>
            <a:spcBef>
              <a:spcPts val="0"/>
            </a:spcBef>
            <a:spcAft>
              <a:spcPts val="0"/>
            </a:spcAft>
            <a:buClrTx/>
            <a:buSzTx/>
            <a:buFontTx/>
            <a:buNone/>
            <a:tabLst/>
            <a:defRPr/>
          </a:pPr>
          <a:endParaRPr lang="en-US" sz="1400">
            <a:solidFill>
              <a:schemeClr val="bg1"/>
            </a:solidFill>
            <a:effectLst/>
          </a:endParaRPr>
        </a:p>
        <a:p>
          <a:endParaRPr lang="en-US" sz="1400">
            <a:solidFill>
              <a:schemeClr val="bg1"/>
            </a:solidFill>
          </a:endParaRPr>
        </a:p>
        <a:p>
          <a:r>
            <a:rPr lang="en-US" sz="1400">
              <a:solidFill>
                <a:schemeClr val="bg1"/>
              </a:solidFill>
            </a:rPr>
            <a:t>The next tab </a:t>
          </a:r>
          <a:r>
            <a:rPr lang="en-US" sz="1400" baseline="0">
              <a:solidFill>
                <a:schemeClr val="bg1"/>
              </a:solidFill>
            </a:rPr>
            <a:t>will illustrate the use of the regulation opportunity cost within the operating reserve calculations.</a:t>
          </a:r>
          <a:endParaRPr lang="en-US" sz="1400">
            <a:solidFill>
              <a:schemeClr val="bg1"/>
            </a:solidFill>
          </a:endParaRPr>
        </a:p>
      </xdr:txBody>
    </xdr:sp>
    <xdr:clientData/>
  </xdr:oneCellAnchor>
  <xdr:twoCellAnchor>
    <xdr:from>
      <xdr:col>11</xdr:col>
      <xdr:colOff>104775</xdr:colOff>
      <xdr:row>226</xdr:row>
      <xdr:rowOff>28575</xdr:rowOff>
    </xdr:from>
    <xdr:to>
      <xdr:col>11</xdr:col>
      <xdr:colOff>104775</xdr:colOff>
      <xdr:row>227</xdr:row>
      <xdr:rowOff>95250</xdr:rowOff>
    </xdr:to>
    <xdr:cxnSp macro="">
      <xdr:nvCxnSpPr>
        <xdr:cNvPr id="11" name="Straight Arrow Connector 10"/>
        <xdr:cNvCxnSpPr/>
      </xdr:nvCxnSpPr>
      <xdr:spPr>
        <a:xfrm>
          <a:off x="7591425" y="46834425"/>
          <a:ext cx="0"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xdr:colOff>
      <xdr:row>0</xdr:row>
      <xdr:rowOff>0</xdr:rowOff>
    </xdr:from>
    <xdr:ext cx="12011024" cy="11801474"/>
    <xdr:sp macro="" textlink="">
      <xdr:nvSpPr>
        <xdr:cNvPr id="2" name="TextBox 1"/>
        <xdr:cNvSpPr txBox="1"/>
      </xdr:nvSpPr>
      <xdr:spPr>
        <a:xfrm>
          <a:off x="1" y="0"/>
          <a:ext cx="12011024" cy="11801474"/>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bg1"/>
              </a:solidFill>
            </a:rPr>
            <a:t>This tab will explain</a:t>
          </a:r>
          <a:r>
            <a:rPr lang="en-US" sz="1400" baseline="0">
              <a:solidFill>
                <a:schemeClr val="bg1"/>
              </a:solidFill>
            </a:rPr>
            <a:t> the operating reserve calculation and the interaction with Regulation and why that interaction is required.</a:t>
          </a:r>
        </a:p>
        <a:p>
          <a:endParaRPr lang="en-US" sz="1400">
            <a:solidFill>
              <a:schemeClr val="bg1"/>
            </a:solidFill>
          </a:endParaRPr>
        </a:p>
        <a:p>
          <a:r>
            <a:rPr lang="en-US" sz="1400">
              <a:solidFill>
                <a:schemeClr val="bg1"/>
              </a:solidFill>
            </a:rPr>
            <a:t>Regulation Opportunity cost is either</a:t>
          </a:r>
          <a:r>
            <a:rPr lang="en-US" sz="1400" baseline="0">
              <a:solidFill>
                <a:schemeClr val="bg1"/>
              </a:solidFill>
            </a:rPr>
            <a:t> the forgone profit or make-whole that is needed for the resource to be indifferent between providing regulation or energy.</a:t>
          </a:r>
        </a:p>
        <a:p>
          <a:r>
            <a:rPr lang="en-US" sz="1400" baseline="0">
              <a:solidFill>
                <a:schemeClr val="bg1"/>
              </a:solidFill>
            </a:rPr>
            <a:t>Operating Reserves has the potential to overstate, understate or double count the profit/loss that is being used as the opportunity cost in regulation. </a:t>
          </a:r>
        </a:p>
        <a:p>
          <a:r>
            <a:rPr lang="en-US" sz="1400" baseline="0">
              <a:solidFill>
                <a:schemeClr val="bg1"/>
              </a:solidFill>
            </a:rPr>
            <a:t>Including the regulation opportunity cost removes the potential for these issues to occur. </a:t>
          </a:r>
          <a:r>
            <a:rPr lang="en-US" sz="1400" b="1" u="sng" baseline="0">
              <a:solidFill>
                <a:schemeClr val="bg1"/>
              </a:solidFill>
            </a:rPr>
            <a:t>The calculations will not be using any profit obtained that are above the regulation opportunity cost plus offer (also referred to as 'regulation revenue above'). </a:t>
          </a:r>
          <a:r>
            <a:rPr lang="en-US" sz="1400" b="0" u="none" baseline="0">
              <a:solidFill>
                <a:schemeClr val="bg1"/>
              </a:solidFill>
            </a:rPr>
            <a:t>The calculation is only accounting for the profit/loss (make-whole) for energy that is being accounted for in regulation to keep the resource indifferent to providing energy or regulation.</a:t>
          </a:r>
        </a:p>
        <a:p>
          <a:endParaRPr lang="en-US" sz="1400" b="0" u="none" baseline="0">
            <a:solidFill>
              <a:schemeClr val="bg1"/>
            </a:solidFill>
          </a:endParaRPr>
        </a:p>
        <a:p>
          <a:r>
            <a:rPr lang="en-US" sz="1400" b="0" u="none" baseline="0">
              <a:solidFill>
                <a:schemeClr val="bg1"/>
              </a:solidFill>
            </a:rPr>
            <a:t>The potential regulation opportunity cost is the expected opportunity cost that the resource would receive if the resource performed to the expected level of their historical performance score. This value will be used in the Balancing Operating Reserves @ Tracking Desired (Step 1) calculation.</a:t>
          </a:r>
        </a:p>
        <a:p>
          <a:endParaRPr lang="en-US" sz="1400" b="0" u="none" baseline="0">
            <a:solidFill>
              <a:schemeClr val="bg1"/>
            </a:solidFill>
          </a:endParaRPr>
        </a:p>
        <a:p>
          <a:r>
            <a:rPr lang="en-US" sz="1400" b="0" u="none" baseline="0">
              <a:solidFill>
                <a:schemeClr val="bg1"/>
              </a:solidFill>
            </a:rPr>
            <a:t>The actual regulation opportunity cost (which uses the actual performance score) will be used in the Balancing Operating Reserves @ RT MW (Step 2) calculation.</a:t>
          </a:r>
        </a:p>
        <a:p>
          <a:endParaRPr lang="en-US" sz="1400" b="0" u="none" baseline="0">
            <a:solidFill>
              <a:schemeClr val="bg1"/>
            </a:solidFill>
          </a:endParaRPr>
        </a:p>
        <a:p>
          <a:r>
            <a:rPr lang="en-US" sz="1400" b="0" u="none" baseline="0">
              <a:solidFill>
                <a:schemeClr val="bg1"/>
              </a:solidFill>
            </a:rPr>
            <a:t>This methodology will synchronize the balancing operating reserve and regulation market opportunity cost calculations.</a:t>
          </a:r>
        </a:p>
        <a:p>
          <a:endParaRPr lang="en-US" sz="1400" b="0" u="none" baseline="0">
            <a:solidFill>
              <a:schemeClr val="bg1"/>
            </a:solidFill>
          </a:endParaRPr>
        </a:p>
        <a:p>
          <a:r>
            <a:rPr lang="en-US" sz="1400" b="0" u="none" baseline="0">
              <a:solidFill>
                <a:schemeClr val="bg1"/>
              </a:solidFill>
              <a:latin typeface="+mn-lt"/>
              <a:ea typeface="+mn-ea"/>
              <a:cs typeface="+mn-cs"/>
            </a:rPr>
            <a:t>There are five blue boxes in each example below to help with the connection between the PJM bill, Profit/Loss calculations and the Balancing Operating Reserve Calculation.</a:t>
          </a:r>
        </a:p>
        <a:p>
          <a:endParaRPr lang="en-US" sz="1400" b="0" u="none" baseline="0">
            <a:solidFill>
              <a:srgbClr val="FFFF00"/>
            </a:solidFill>
            <a:latin typeface="+mn-lt"/>
            <a:ea typeface="+mn-ea"/>
            <a:cs typeface="+mn-cs"/>
          </a:endParaRPr>
        </a:p>
        <a:p>
          <a:r>
            <a:rPr lang="en-US" sz="1400" b="0" u="none" baseline="0">
              <a:solidFill>
                <a:schemeClr val="bg1"/>
              </a:solidFill>
              <a:latin typeface="+mn-lt"/>
              <a:ea typeface="+mn-ea"/>
              <a:cs typeface="+mn-cs"/>
            </a:rPr>
            <a:t>There are two boxes with the calculation of the Regulation market settlement - one with what the resource potentially would have earned if it had performed consistent with its historical performance score, and the other with what the resource actually earned based on its actual performance score. These are labeled Regulation Settlement Potential and Regulation Settlement Actual. </a:t>
          </a:r>
        </a:p>
        <a:p>
          <a:endParaRPr lang="en-US" sz="1400" b="0" u="none" baseline="0">
            <a:solidFill>
              <a:srgbClr val="FFFF00"/>
            </a:solidFill>
            <a:latin typeface="+mn-lt"/>
            <a:ea typeface="+mn-ea"/>
            <a:cs typeface="+mn-cs"/>
          </a:endParaRPr>
        </a:p>
        <a:p>
          <a:r>
            <a:rPr lang="en-US" sz="1400" b="0" u="none" baseline="0">
              <a:solidFill>
                <a:schemeClr val="bg1"/>
              </a:solidFill>
              <a:latin typeface="+mn-lt"/>
              <a:ea typeface="+mn-ea"/>
              <a:cs typeface="+mn-cs"/>
            </a:rPr>
            <a:t>The third blue box is labeled PJM bill. This box reflects the revenue that is received for the Energy Market (Day-ahead and Balancing) and the regulation market. </a:t>
          </a:r>
        </a:p>
        <a:p>
          <a:r>
            <a:rPr lang="en-US" sz="1400" b="0" u="none" baseline="0">
              <a:solidFill>
                <a:schemeClr val="bg1"/>
              </a:solidFill>
              <a:latin typeface="+mn-lt"/>
              <a:ea typeface="+mn-ea"/>
              <a:cs typeface="+mn-cs"/>
            </a:rPr>
            <a:t>The PJM bill box is used in conjunction with the fourth box labeled Profit/Loss. The Profit/Loss box is reflective of the Revenue received through the PJM bill minus the cost of the MW produced.</a:t>
          </a:r>
        </a:p>
        <a:p>
          <a:endParaRPr lang="en-US" sz="1400" b="0" u="none" baseline="0">
            <a:solidFill>
              <a:srgbClr val="FFFF00"/>
            </a:solidFill>
            <a:latin typeface="+mn-lt"/>
            <a:ea typeface="+mn-ea"/>
            <a:cs typeface="+mn-cs"/>
          </a:endParaRPr>
        </a:p>
        <a:p>
          <a:r>
            <a:rPr lang="en-US" sz="1400" b="0" u="none" baseline="0">
              <a:solidFill>
                <a:schemeClr val="bg1"/>
              </a:solidFill>
              <a:latin typeface="+mn-lt"/>
              <a:ea typeface="+mn-ea"/>
              <a:cs typeface="+mn-cs"/>
            </a:rPr>
            <a:t>The fifth box is labled Profit/Loss From Energy Only. This box is the Balancing Operating Reserve calculations based on what the resource would have received based on the Economic Tracking Desired absent Regulation.</a:t>
          </a:r>
        </a:p>
        <a:p>
          <a:endParaRPr lang="en-US" sz="1400" b="0" u="none" baseline="0">
            <a:solidFill>
              <a:srgbClr val="FFFF00"/>
            </a:solidFill>
            <a:latin typeface="+mn-lt"/>
            <a:ea typeface="+mn-ea"/>
            <a:cs typeface="+mn-cs"/>
          </a:endParaRPr>
        </a:p>
        <a:p>
          <a:r>
            <a:rPr lang="en-US" sz="1400" b="0" u="none" baseline="0">
              <a:solidFill>
                <a:schemeClr val="bg1"/>
              </a:solidFill>
              <a:latin typeface="+mn-lt"/>
              <a:ea typeface="+mn-ea"/>
              <a:cs typeface="+mn-cs"/>
            </a:rPr>
            <a:t>In general, the profit/loss should typically match with the Balancing Operating Reserve Net Revenue of Step 2 in the Balancing Operating Reserve calculation because the aim of the Operating Reserve Credit calculation is to determine what additional compensation the resource needs to cover its costs to produce energy after accounting for all the revenues it received.  If the Balancing Net Revenue of Step 2 in the Balancing Operating Reserve calculation is less than or greater than the Profit/Loss in the Profit/Loss box , this is an indication that there are revenues or costs that are being omitted from, or double counted in, the Balancing Operating Reserve Credit calculation.   If the values match, it is a signal that all costs and revenues have been appropriately accounted for in the Balancing Operating Reserve Credit calculation.</a:t>
          </a:r>
        </a:p>
        <a:p>
          <a:endParaRPr lang="en-US" sz="1400" b="0" u="none" baseline="0">
            <a:solidFill>
              <a:srgbClr val="FFFF00"/>
            </a:solidFill>
            <a:latin typeface="+mn-lt"/>
            <a:ea typeface="+mn-ea"/>
            <a:cs typeface="+mn-cs"/>
          </a:endParaRPr>
        </a:p>
        <a:p>
          <a:r>
            <a:rPr lang="en-US" sz="1400" b="0" u="none" baseline="0">
              <a:solidFill>
                <a:schemeClr val="bg1"/>
              </a:solidFill>
              <a:latin typeface="+mn-lt"/>
              <a:ea typeface="+mn-ea"/>
              <a:cs typeface="+mn-cs"/>
            </a:rPr>
            <a:t>One notable exception to this rule in the examples below is that the profit/loss will not match the Balancing Operating Reserve Net Revenue of Step 2 when the resource earns revenues above its opportunity cost via the Regulation Clearing Price Credits (aka "Regulation Revenue Above").  While additional revenue earned above cost earned in the Reserve Markets (e.g. Synch Reserve Revenue Above, etc.) can be used to offset Balancing Operating Reserve Credits, the existing rules restrict Regulation Revenue Above from being accounted for in the Balancing Operating Reserve Credits.  The examples below abide by that current rule.  In this case, the 'Profit/Loss less Regulation Profit above Opp Cost' value in the Profit/Loss box will match the Balancing Net Revenue in the Step 2 calculation.</a:t>
          </a:r>
        </a:p>
        <a:p>
          <a:endParaRPr lang="en-US" sz="1400" b="1" u="sng">
            <a:solidFill>
              <a:srgbClr val="FFFF00"/>
            </a:solidFill>
          </a:endParaRPr>
        </a:p>
        <a:p>
          <a:r>
            <a:rPr lang="en-US" sz="1400" b="0" u="none">
              <a:solidFill>
                <a:schemeClr val="bg1"/>
              </a:solidFill>
            </a:rPr>
            <a:t>The Profit/Loss From Energy Only box</a:t>
          </a:r>
          <a:r>
            <a:rPr lang="en-US" sz="1400" b="0" u="none" baseline="0">
              <a:solidFill>
                <a:schemeClr val="bg1"/>
              </a:solidFill>
            </a:rPr>
            <a:t> will match the Balancing Operating Reserve @ Tracking Desired (Step 1) box. This will happen because the purpose of the regulation opportunity cost is to keep the resource indifferent from providing energy or regulation, for the deviation needed to provide regulation. This is accomplished by the regulation opportunity cost being either the forgone profit or the make-whole needed to return the resource's credit to what it would have made when producing energy only.</a:t>
          </a:r>
        </a:p>
        <a:p>
          <a:endParaRPr lang="en-US" sz="1400" b="0" u="none" baseline="0">
            <a:solidFill>
              <a:schemeClr val="bg1"/>
            </a:solidFill>
          </a:endParaRPr>
        </a:p>
        <a:p>
          <a:r>
            <a:rPr lang="en-US" sz="1100" b="0">
              <a:solidFill>
                <a:schemeClr val="tx1"/>
              </a:solidFill>
              <a:effectLst/>
              <a:latin typeface="+mn-lt"/>
              <a:ea typeface="+mn-ea"/>
              <a:cs typeface="+mn-cs"/>
            </a:rPr>
            <a:t> </a:t>
          </a:r>
          <a:endParaRPr lang="en-US" sz="1400" b="0" u="none">
            <a:solidFill>
              <a:schemeClr val="bg1"/>
            </a:solidFill>
          </a:endParaRPr>
        </a:p>
      </xdr:txBody>
    </xdr:sp>
    <xdr:clientData/>
  </xdr:oneCellAnchor>
  <xdr:oneCellAnchor>
    <xdr:from>
      <xdr:col>0</xdr:col>
      <xdr:colOff>0</xdr:colOff>
      <xdr:row>120</xdr:row>
      <xdr:rowOff>9525</xdr:rowOff>
    </xdr:from>
    <xdr:ext cx="11991975" cy="2800350"/>
    <xdr:sp macro="" textlink="">
      <xdr:nvSpPr>
        <xdr:cNvPr id="3" name="TextBox 2"/>
        <xdr:cNvSpPr txBox="1"/>
      </xdr:nvSpPr>
      <xdr:spPr>
        <a:xfrm>
          <a:off x="0" y="23936325"/>
          <a:ext cx="11991975" cy="2800350"/>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bg1"/>
              </a:solidFill>
            </a:rPr>
            <a:t>Takeaway:</a:t>
          </a:r>
        </a:p>
        <a:p>
          <a:endParaRPr lang="en-US" sz="1400">
            <a:solidFill>
              <a:schemeClr val="bg1"/>
            </a:solidFill>
          </a:endParaRPr>
        </a:p>
        <a:p>
          <a:r>
            <a:rPr lang="en-US" sz="1400">
              <a:solidFill>
                <a:schemeClr val="bg1"/>
              </a:solidFill>
            </a:rPr>
            <a:t>The balancing</a:t>
          </a:r>
          <a:r>
            <a:rPr lang="en-US" sz="1400" baseline="0">
              <a:solidFill>
                <a:schemeClr val="bg1"/>
              </a:solidFill>
            </a:rPr>
            <a:t> operating reserves @ tracking desired calculation (Step 1) ($1750) for operating reserves will use the Regulation setpoint, since this is where the resource would be expected to operate to provide regulation and then including the potential regulation opportunity cost will return the Balancing Net Revenue to equal the value that it would have been if the resource was just providing energy (Profit/Loss From Energy Only)($1750).</a:t>
          </a:r>
          <a:endParaRPr lang="en-US" sz="1400" baseline="0">
            <a:solidFill>
              <a:srgbClr val="FFFF00"/>
            </a:solidFill>
          </a:endParaRPr>
        </a:p>
        <a:p>
          <a:endParaRPr lang="en-US" sz="1400" baseline="0">
            <a:solidFill>
              <a:schemeClr val="bg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rPr>
            <a:t>The balancing operating reserves @ RT MW calculation (Step 2) ($1736.67) for operating reserves will use the RT MW for the five minute interval and then including the regulation opportunity cost will cause the Bal Net Revenue to equal the profit/loss the unit earned from all markets (excluding any profit above the opportunity cost from the regulation market) ($1736.67</a:t>
          </a:r>
          <a:r>
            <a:rPr lang="en-US" sz="1400" baseline="0">
              <a:solidFill>
                <a:schemeClr val="bg1"/>
              </a:solidFill>
              <a:latin typeface="+mn-lt"/>
              <a:ea typeface="+mn-ea"/>
              <a:cs typeface="+mn-cs"/>
            </a:rPr>
            <a:t>).  The fact that these two net revenue values match illustrates that that Regulation Opportunity Cost of $226.67 needs to be added back into the Balancing Operating Reserve Credit calculation in order to properly account for the revenues earned by the resource.  The resource's Balancing Net Revenue in the Operating Reserve calculation would otherwise be understated, increasing the chance the resource would earn an Operating Reserve Credit when it is not otherwise needed.</a:t>
          </a:r>
        </a:p>
        <a:p>
          <a:endParaRPr lang="en-US" sz="1400" baseline="0">
            <a:solidFill>
              <a:schemeClr val="bg1"/>
            </a:solidFill>
          </a:endParaRPr>
        </a:p>
        <a:p>
          <a:endParaRPr lang="en-US" sz="1400" strike="sngStrike" baseline="0">
            <a:solidFill>
              <a:schemeClr val="bg1"/>
            </a:solidFill>
          </a:endParaRPr>
        </a:p>
      </xdr:txBody>
    </xdr:sp>
    <xdr:clientData/>
  </xdr:oneCellAnchor>
  <xdr:twoCellAnchor>
    <xdr:from>
      <xdr:col>7</xdr:col>
      <xdr:colOff>485775</xdr:colOff>
      <xdr:row>111</xdr:row>
      <xdr:rowOff>161925</xdr:rowOff>
    </xdr:from>
    <xdr:to>
      <xdr:col>9</xdr:col>
      <xdr:colOff>209550</xdr:colOff>
      <xdr:row>122</xdr:row>
      <xdr:rowOff>123825</xdr:rowOff>
    </xdr:to>
    <xdr:cxnSp macro="">
      <xdr:nvCxnSpPr>
        <xdr:cNvPr id="5" name="Straight Arrow Connector 4"/>
        <xdr:cNvCxnSpPr/>
      </xdr:nvCxnSpPr>
      <xdr:spPr>
        <a:xfrm flipV="1">
          <a:off x="5581650" y="22155150"/>
          <a:ext cx="942975" cy="22764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542925</xdr:colOff>
      <xdr:row>111</xdr:row>
      <xdr:rowOff>171450</xdr:rowOff>
    </xdr:from>
    <xdr:to>
      <xdr:col>23</xdr:col>
      <xdr:colOff>76200</xdr:colOff>
      <xdr:row>125</xdr:row>
      <xdr:rowOff>57150</xdr:rowOff>
    </xdr:to>
    <xdr:cxnSp macro="">
      <xdr:nvCxnSpPr>
        <xdr:cNvPr id="7" name="Straight Arrow Connector 6"/>
        <xdr:cNvCxnSpPr/>
      </xdr:nvCxnSpPr>
      <xdr:spPr>
        <a:xfrm flipV="1">
          <a:off x="8734425" y="22164675"/>
          <a:ext cx="7210425" cy="2771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111</xdr:row>
      <xdr:rowOff>171450</xdr:rowOff>
    </xdr:from>
    <xdr:to>
      <xdr:col>16</xdr:col>
      <xdr:colOff>123825</xdr:colOff>
      <xdr:row>127</xdr:row>
      <xdr:rowOff>66675</xdr:rowOff>
    </xdr:to>
    <xdr:cxnSp macro="">
      <xdr:nvCxnSpPr>
        <xdr:cNvPr id="9" name="Straight Arrow Connector 8"/>
        <xdr:cNvCxnSpPr/>
      </xdr:nvCxnSpPr>
      <xdr:spPr>
        <a:xfrm flipV="1">
          <a:off x="5210175" y="22164675"/>
          <a:ext cx="6296025" cy="31623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323850</xdr:colOff>
      <xdr:row>107</xdr:row>
      <xdr:rowOff>161925</xdr:rowOff>
    </xdr:from>
    <xdr:to>
      <xdr:col>31</xdr:col>
      <xdr:colOff>333375</xdr:colOff>
      <xdr:row>129</xdr:row>
      <xdr:rowOff>114300</xdr:rowOff>
    </xdr:to>
    <xdr:cxnSp macro="">
      <xdr:nvCxnSpPr>
        <xdr:cNvPr id="11" name="Straight Arrow Connector 10"/>
        <xdr:cNvCxnSpPr/>
      </xdr:nvCxnSpPr>
      <xdr:spPr>
        <a:xfrm flipV="1">
          <a:off x="4200525" y="21383625"/>
          <a:ext cx="17392650" cy="437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19050</xdr:colOff>
      <xdr:row>190</xdr:row>
      <xdr:rowOff>9525</xdr:rowOff>
    </xdr:from>
    <xdr:ext cx="11991975" cy="5743575"/>
    <xdr:sp macro="" textlink="">
      <xdr:nvSpPr>
        <xdr:cNvPr id="12" name="TextBox 11"/>
        <xdr:cNvSpPr txBox="1"/>
      </xdr:nvSpPr>
      <xdr:spPr>
        <a:xfrm>
          <a:off x="19050" y="38395275"/>
          <a:ext cx="11991975" cy="5743575"/>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bg1"/>
              </a:solidFill>
            </a:rPr>
            <a:t>Takeaway:</a:t>
          </a:r>
          <a:br>
            <a:rPr lang="en-US" sz="1400">
              <a:solidFill>
                <a:schemeClr val="bg1"/>
              </a:solidFill>
            </a:rPr>
          </a:br>
          <a:endParaRPr lang="en-US" sz="1400">
            <a:effectLst/>
          </a:endParaRPr>
        </a:p>
        <a:p>
          <a:r>
            <a:rPr lang="en-US" sz="1400">
              <a:solidFill>
                <a:schemeClr val="bg1"/>
              </a:solidFill>
              <a:effectLst/>
              <a:latin typeface="+mn-lt"/>
              <a:ea typeface="+mn-ea"/>
              <a:cs typeface="+mn-cs"/>
            </a:rPr>
            <a:t>The balancing</a:t>
          </a:r>
          <a:r>
            <a:rPr lang="en-US" sz="1400" baseline="0">
              <a:solidFill>
                <a:schemeClr val="bg1"/>
              </a:solidFill>
              <a:effectLst/>
              <a:latin typeface="+mn-lt"/>
              <a:ea typeface="+mn-ea"/>
              <a:cs typeface="+mn-cs"/>
            </a:rPr>
            <a:t> operating reserves @ tracking desired calculation (Step 1) (-$250) for operating reserves will use the Regulation setpoint, since this is where the resource would be expected to operate to provide regulation and then including the potential regulation opportunity cost will return the Balancing Net Revenue to equal the value that it would have been if the resource was just providing energy (Profit/Loss From Energy Only)(-$250). </a:t>
          </a:r>
        </a:p>
        <a:p>
          <a:endParaRPr lang="en-US" sz="1400" baseline="0">
            <a:solidFill>
              <a:schemeClr val="bg1"/>
            </a:solidFill>
            <a:effectLst/>
            <a:latin typeface="+mn-lt"/>
            <a:ea typeface="+mn-ea"/>
            <a:cs typeface="+mn-cs"/>
          </a:endParaRPr>
        </a:p>
        <a:p>
          <a:r>
            <a:rPr lang="en-US" sz="1400" baseline="0">
              <a:solidFill>
                <a:schemeClr val="bg1"/>
              </a:solidFill>
              <a:effectLst/>
              <a:latin typeface="+mn-lt"/>
              <a:ea typeface="+mn-ea"/>
              <a:cs typeface="+mn-cs"/>
            </a:rPr>
            <a:t>The balancing operating reserves @ RT MW calculation (Step 2) (-$257.78) for operating reserves will use the RT MW for the five minute interval  and then including the regulation opportunity cost will cause the Bal Net Revenue to equal the profit/loss that does not include any profit above the opportunity cost from the regulation market (-$257.78).</a:t>
          </a:r>
          <a:endParaRPr lang="en-US" sz="1400">
            <a:solidFill>
              <a:schemeClr val="bg1"/>
            </a:solidFill>
            <a:effectLst/>
          </a:endParaRPr>
        </a:p>
        <a:p>
          <a:endParaRPr lang="en-US" sz="1400" baseline="0">
            <a:solidFill>
              <a:schemeClr val="bg1"/>
            </a:solidFill>
            <a:effectLst/>
            <a:latin typeface="+mn-lt"/>
            <a:ea typeface="+mn-ea"/>
            <a:cs typeface="+mn-cs"/>
          </a:endParaRPr>
        </a:p>
        <a:p>
          <a:r>
            <a:rPr lang="en-US" sz="1400" baseline="0">
              <a:solidFill>
                <a:schemeClr val="bg1"/>
              </a:solidFill>
              <a:effectLst/>
              <a:latin typeface="+mn-lt"/>
              <a:ea typeface="+mn-ea"/>
              <a:cs typeface="+mn-cs"/>
            </a:rPr>
            <a:t>Operating Reserves will account for the opportunity cost that is being used to keep the resource indifferent between providing energy and regulation. In this scenario, the regulation provided caused an increase in output that requires a make-whole payment that is covered by Regulation. If the opportunity cost was not included in operating reserves, then regulation would make the resource whole and operating reserves may make the resource whole for the same MW (Double Counting).</a:t>
          </a:r>
        </a:p>
        <a:p>
          <a:endParaRPr lang="en-US" sz="140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aseline="0">
              <a:solidFill>
                <a:schemeClr val="bg1"/>
              </a:solidFill>
              <a:effectLst/>
              <a:latin typeface="+mn-lt"/>
              <a:ea typeface="+mn-ea"/>
              <a:cs typeface="+mn-cs"/>
            </a:rPr>
            <a:t>That is, in the Step 1 calculation, if the Regulation Opportunity Cost of $140 was excluded from the calculation it would show a Balancing Net Revenue of ($390.00).  However, the Profit/Loss calculation shows the resource had a smaller loss of ($250).  If the resource was made whole to its Balancing Net Revenue of ($390.00) they would receive compensation for the $140 in regulation opportunity cost through both the Operating Reserve credit and the Regulation market.  </a:t>
          </a:r>
          <a:endParaRPr lang="en-US" sz="1400">
            <a:solidFill>
              <a:schemeClr val="bg1"/>
            </a:solidFill>
            <a:effectLst/>
          </a:endParaRPr>
        </a:p>
        <a:p>
          <a:endParaRPr lang="en-US" sz="1400" baseline="0">
            <a:solidFill>
              <a:schemeClr val="bg1"/>
            </a:solidFill>
            <a:effectLst/>
            <a:latin typeface="+mn-lt"/>
            <a:ea typeface="+mn-ea"/>
            <a:cs typeface="+mn-cs"/>
          </a:endParaRPr>
        </a:p>
        <a:p>
          <a:r>
            <a:rPr lang="en-US" sz="1400" baseline="0">
              <a:solidFill>
                <a:schemeClr val="bg1"/>
              </a:solidFill>
              <a:effectLst/>
              <a:latin typeface="+mn-lt"/>
              <a:ea typeface="+mn-ea"/>
              <a:cs typeface="+mn-cs"/>
            </a:rPr>
            <a:t>That is</a:t>
          </a:r>
          <a:r>
            <a:rPr lang="en-US" sz="1400" strike="noStrike" baseline="0">
              <a:solidFill>
                <a:schemeClr val="bg1"/>
              </a:solidFill>
              <a:effectLst/>
              <a:latin typeface="+mn-lt"/>
              <a:ea typeface="+mn-ea"/>
              <a:cs typeface="+mn-cs"/>
            </a:rPr>
            <a:t>, in the Step 2 calculation, </a:t>
          </a:r>
          <a:r>
            <a:rPr lang="en-US" sz="1400" baseline="0">
              <a:solidFill>
                <a:schemeClr val="bg1"/>
              </a:solidFill>
              <a:effectLst/>
              <a:latin typeface="+mn-lt"/>
              <a:ea typeface="+mn-ea"/>
              <a:cs typeface="+mn-cs"/>
            </a:rPr>
            <a:t>if the Regulation Opportunity Cost of $132.22 was excluded from the calculation it would show a Balancing Net Revenue of ($390.00).  However, the Profit/Loss calculation shows the resource had a smaller loss of ($257.78).  If the resource was made whole to its Balancing Net Revenue of ($390.00) they would receive compensation for the $132.22 in regulation opportunity cost through both the Operating Reserve credit and the Regulation market.  </a:t>
          </a:r>
          <a:endParaRPr lang="en-US" sz="1400">
            <a:solidFill>
              <a:schemeClr val="bg1"/>
            </a:solidFill>
            <a:effectLst/>
          </a:endParaRPr>
        </a:p>
        <a:p>
          <a:endParaRPr lang="en-US" sz="1400">
            <a:solidFill>
              <a:schemeClr val="bg1"/>
            </a:solidFill>
          </a:endParaRPr>
        </a:p>
      </xdr:txBody>
    </xdr:sp>
    <xdr:clientData/>
  </xdr:oneCellAnchor>
  <xdr:twoCellAnchor>
    <xdr:from>
      <xdr:col>7</xdr:col>
      <xdr:colOff>476250</xdr:colOff>
      <xdr:row>182</xdr:row>
      <xdr:rowOff>171450</xdr:rowOff>
    </xdr:from>
    <xdr:to>
      <xdr:col>9</xdr:col>
      <xdr:colOff>352425</xdr:colOff>
      <xdr:row>192</xdr:row>
      <xdr:rowOff>123825</xdr:rowOff>
    </xdr:to>
    <xdr:cxnSp macro="">
      <xdr:nvCxnSpPr>
        <xdr:cNvPr id="14" name="Straight Arrow Connector 13"/>
        <xdr:cNvCxnSpPr/>
      </xdr:nvCxnSpPr>
      <xdr:spPr>
        <a:xfrm flipV="1">
          <a:off x="5572125" y="32756475"/>
          <a:ext cx="1095375" cy="2133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180</xdr:row>
      <xdr:rowOff>142876</xdr:rowOff>
    </xdr:from>
    <xdr:to>
      <xdr:col>23</xdr:col>
      <xdr:colOff>171450</xdr:colOff>
      <xdr:row>195</xdr:row>
      <xdr:rowOff>66675</xdr:rowOff>
    </xdr:to>
    <xdr:cxnSp macro="">
      <xdr:nvCxnSpPr>
        <xdr:cNvPr id="16" name="Straight Arrow Connector 15"/>
        <xdr:cNvCxnSpPr/>
      </xdr:nvCxnSpPr>
      <xdr:spPr>
        <a:xfrm flipV="1">
          <a:off x="8686800" y="36347401"/>
          <a:ext cx="7353300" cy="30575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180</xdr:row>
      <xdr:rowOff>133350</xdr:rowOff>
    </xdr:from>
    <xdr:to>
      <xdr:col>16</xdr:col>
      <xdr:colOff>9525</xdr:colOff>
      <xdr:row>197</xdr:row>
      <xdr:rowOff>57150</xdr:rowOff>
    </xdr:to>
    <xdr:cxnSp macro="">
      <xdr:nvCxnSpPr>
        <xdr:cNvPr id="18" name="Straight Arrow Connector 17"/>
        <xdr:cNvCxnSpPr/>
      </xdr:nvCxnSpPr>
      <xdr:spPr>
        <a:xfrm flipV="1">
          <a:off x="5114925" y="32337375"/>
          <a:ext cx="6276975" cy="34385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438150</xdr:colOff>
      <xdr:row>176</xdr:row>
      <xdr:rowOff>114301</xdr:rowOff>
    </xdr:from>
    <xdr:to>
      <xdr:col>31</xdr:col>
      <xdr:colOff>371475</xdr:colOff>
      <xdr:row>199</xdr:row>
      <xdr:rowOff>180975</xdr:rowOff>
    </xdr:to>
    <xdr:cxnSp macro="">
      <xdr:nvCxnSpPr>
        <xdr:cNvPr id="20" name="Straight Arrow Connector 19"/>
        <xdr:cNvCxnSpPr/>
      </xdr:nvCxnSpPr>
      <xdr:spPr>
        <a:xfrm flipV="1">
          <a:off x="2486025" y="35547301"/>
          <a:ext cx="19145250" cy="473392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274</xdr:row>
      <xdr:rowOff>371473</xdr:rowOff>
    </xdr:from>
    <xdr:ext cx="12001500" cy="5657851"/>
    <xdr:sp macro="" textlink="">
      <xdr:nvSpPr>
        <xdr:cNvPr id="21" name="TextBox 20"/>
        <xdr:cNvSpPr txBox="1"/>
      </xdr:nvSpPr>
      <xdr:spPr>
        <a:xfrm>
          <a:off x="0" y="55635523"/>
          <a:ext cx="12001500" cy="5657851"/>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bg1"/>
              </a:solidFill>
              <a:effectLst/>
              <a:latin typeface="+mn-lt"/>
              <a:ea typeface="+mn-ea"/>
              <a:cs typeface="+mn-cs"/>
            </a:rPr>
            <a:t>Takeaway:</a:t>
          </a:r>
          <a:br>
            <a:rPr lang="en-US" sz="1400">
              <a:solidFill>
                <a:schemeClr val="bg1"/>
              </a:solidFill>
              <a:effectLst/>
              <a:latin typeface="+mn-lt"/>
              <a:ea typeface="+mn-ea"/>
              <a:cs typeface="+mn-cs"/>
            </a:rPr>
          </a:br>
          <a:endParaRPr lang="en-US" sz="1400">
            <a:solidFill>
              <a:schemeClr val="bg1"/>
            </a:solidFill>
            <a:effectLst/>
          </a:endParaRPr>
        </a:p>
        <a:p>
          <a:r>
            <a:rPr lang="en-US" sz="1400">
              <a:solidFill>
                <a:schemeClr val="bg1"/>
              </a:solidFill>
              <a:effectLst/>
              <a:latin typeface="+mn-lt"/>
              <a:ea typeface="+mn-ea"/>
              <a:cs typeface="+mn-cs"/>
            </a:rPr>
            <a:t>The balancing</a:t>
          </a:r>
          <a:r>
            <a:rPr lang="en-US" sz="1400" baseline="0">
              <a:solidFill>
                <a:schemeClr val="bg1"/>
              </a:solidFill>
              <a:effectLst/>
              <a:latin typeface="+mn-lt"/>
              <a:ea typeface="+mn-ea"/>
              <a:cs typeface="+mn-cs"/>
            </a:rPr>
            <a:t> operating reserves @ tracking desired calculation (Step 1) ($250) for operating reserves will use the Regulation setpoint, </a:t>
          </a:r>
          <a:r>
            <a:rPr lang="en-US" sz="1400" b="0" baseline="0">
              <a:solidFill>
                <a:schemeClr val="bg1"/>
              </a:solidFill>
              <a:effectLst/>
              <a:latin typeface="+mn-lt"/>
              <a:ea typeface="+mn-ea"/>
              <a:cs typeface="+mn-cs"/>
            </a:rPr>
            <a:t>since this is where the resource would be expected to operate to provide regulation</a:t>
          </a:r>
          <a:r>
            <a:rPr lang="en-US" sz="1400" b="1" baseline="0">
              <a:solidFill>
                <a:schemeClr val="bg1"/>
              </a:solidFill>
              <a:effectLst/>
              <a:latin typeface="+mn-lt"/>
              <a:ea typeface="+mn-ea"/>
              <a:cs typeface="+mn-cs"/>
            </a:rPr>
            <a:t> </a:t>
          </a:r>
          <a:r>
            <a:rPr lang="en-US" sz="1400" baseline="0">
              <a:solidFill>
                <a:schemeClr val="bg1"/>
              </a:solidFill>
              <a:effectLst/>
              <a:latin typeface="+mn-lt"/>
              <a:ea typeface="+mn-ea"/>
              <a:cs typeface="+mn-cs"/>
            </a:rPr>
            <a:t>and then including the potential regulation opportunity cost will return the Balancing Net Revenue to equal the value that it would have been if the resource was just providing energy (Profit/Loss From Energy Only)($250). </a:t>
          </a:r>
          <a:endParaRPr lang="en-US" sz="1400">
            <a:solidFill>
              <a:schemeClr val="bg1"/>
            </a:solidFill>
            <a:effectLst/>
          </a:endParaRPr>
        </a:p>
        <a:p>
          <a:endParaRPr lang="en-US" sz="1400" baseline="0">
            <a:solidFill>
              <a:schemeClr val="bg1"/>
            </a:solidFill>
            <a:effectLst/>
            <a:latin typeface="+mn-lt"/>
            <a:ea typeface="+mn-ea"/>
            <a:cs typeface="+mn-cs"/>
          </a:endParaRPr>
        </a:p>
        <a:p>
          <a:r>
            <a:rPr lang="en-US" sz="1400" baseline="0">
              <a:solidFill>
                <a:schemeClr val="bg1"/>
              </a:solidFill>
              <a:effectLst/>
              <a:latin typeface="+mn-lt"/>
              <a:ea typeface="+mn-ea"/>
              <a:cs typeface="+mn-cs"/>
            </a:rPr>
            <a:t>The balancing operating reserves @ RT MW calculation (Step 2) ($236.67) for operating reserves will use the RT MW for the five minute interval and then including the regulation opportunity cost will cause the Bal Net Revenue to equal the profit/loss of ($236.67)</a:t>
          </a:r>
          <a:r>
            <a:rPr lang="en-US" sz="1100" baseline="0">
              <a:solidFill>
                <a:schemeClr val="tx1"/>
              </a:solidFill>
              <a:effectLst/>
              <a:latin typeface="+mn-lt"/>
              <a:ea typeface="+mn-ea"/>
              <a:cs typeface="+mn-cs"/>
            </a:rPr>
            <a:t> </a:t>
          </a:r>
          <a:r>
            <a:rPr lang="en-US" sz="1400" baseline="0">
              <a:solidFill>
                <a:schemeClr val="bg1"/>
              </a:solidFill>
              <a:effectLst/>
              <a:latin typeface="+mn-lt"/>
              <a:ea typeface="+mn-ea"/>
              <a:cs typeface="+mn-cs"/>
            </a:rPr>
            <a:t>(once regulation profit above the opportunity cost from the regulation market is excluded from the calculation).</a:t>
          </a:r>
          <a:endParaRPr lang="en-US" sz="1400">
            <a:solidFill>
              <a:schemeClr val="bg1"/>
            </a:solidFill>
            <a:effectLst/>
          </a:endParaRPr>
        </a:p>
        <a:p>
          <a:endParaRPr lang="en-US" sz="1400" baseline="0">
            <a:solidFill>
              <a:schemeClr val="bg1"/>
            </a:solidFill>
            <a:effectLst/>
            <a:latin typeface="+mn-lt"/>
            <a:ea typeface="+mn-ea"/>
            <a:cs typeface="+mn-cs"/>
          </a:endParaRPr>
        </a:p>
        <a:p>
          <a:r>
            <a:rPr lang="en-US" sz="1400" baseline="0">
              <a:solidFill>
                <a:schemeClr val="bg1"/>
              </a:solidFill>
              <a:effectLst/>
              <a:latin typeface="+mn-lt"/>
              <a:ea typeface="+mn-ea"/>
              <a:cs typeface="+mn-cs"/>
            </a:rPr>
            <a:t>Operating Reserves will account for the opportunity cost that is being used to keep the resource indifferent between providing energy and regulation. In this </a:t>
          </a:r>
        </a:p>
        <a:p>
          <a:r>
            <a:rPr lang="en-US" sz="1400" baseline="0">
              <a:solidFill>
                <a:schemeClr val="bg1"/>
              </a:solidFill>
              <a:effectLst/>
              <a:latin typeface="+mn-lt"/>
              <a:ea typeface="+mn-ea"/>
              <a:cs typeface="+mn-cs"/>
            </a:rPr>
            <a:t>scenario, the regulation provided caused a decrease in output that requires a forgone profit payment that is covered by Regulation. If the opportunity cost was not included in operating reserves, then regulation would provide the forgone profit and operating reserves may provide the same forgone profit for the same MW, through buying out of the day-ahead market (Double Counting). </a:t>
          </a:r>
        </a:p>
        <a:p>
          <a:endParaRPr lang="en-US" sz="1400" baseline="0">
            <a:solidFill>
              <a:schemeClr val="bg1"/>
            </a:solidFill>
            <a:effectLst/>
            <a:latin typeface="+mn-lt"/>
            <a:ea typeface="+mn-ea"/>
            <a:cs typeface="+mn-cs"/>
          </a:endParaRPr>
        </a:p>
        <a:p>
          <a:r>
            <a:rPr lang="en-US" sz="1400" b="0" u="none" baseline="0">
              <a:solidFill>
                <a:schemeClr val="bg1"/>
              </a:solidFill>
              <a:effectLst/>
              <a:latin typeface="+mn-lt"/>
              <a:ea typeface="+mn-ea"/>
              <a:cs typeface="+mn-cs"/>
            </a:rPr>
            <a:t>In this case, the double counting would be less revenue used to offset any losses from other intervals within the segment for operating reserves. By not including the regulation oppotunity cost the Bal Net Revenue in step 1 and 2 would be $10. This would understate the Bal Net Revenue in operating reserve because the buy out of the day-ahead market is being accounted for in the Regulation opportunity cost. The regulation opportunity cost is the same as the net cost to buy out of the Day-ahead market. The Day-Ahead profit remains intact to the extent the resource followed dispatch/regulation.</a:t>
          </a:r>
          <a:endParaRPr lang="en-US" sz="1400" b="0" u="none">
            <a:solidFill>
              <a:schemeClr val="bg1"/>
            </a:solidFill>
            <a:effectLst/>
          </a:endParaRPr>
        </a:p>
        <a:p>
          <a:endParaRPr lang="en-US" sz="1400">
            <a:solidFill>
              <a:schemeClr val="bg1"/>
            </a:solidFill>
          </a:endParaRPr>
        </a:p>
      </xdr:txBody>
    </xdr:sp>
    <xdr:clientData/>
  </xdr:oneCellAnchor>
  <xdr:twoCellAnchor>
    <xdr:from>
      <xdr:col>14</xdr:col>
      <xdr:colOff>828675</xdr:colOff>
      <xdr:row>92</xdr:row>
      <xdr:rowOff>190500</xdr:rowOff>
    </xdr:from>
    <xdr:to>
      <xdr:col>18</xdr:col>
      <xdr:colOff>180975</xdr:colOff>
      <xdr:row>95</xdr:row>
      <xdr:rowOff>114300</xdr:rowOff>
    </xdr:to>
    <xdr:sp macro="" textlink="">
      <xdr:nvSpPr>
        <xdr:cNvPr id="22" name="Oval 21"/>
        <xdr:cNvSpPr/>
      </xdr:nvSpPr>
      <xdr:spPr>
        <a:xfrm>
          <a:off x="10677525" y="10868025"/>
          <a:ext cx="2105025" cy="5238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466725</xdr:colOff>
      <xdr:row>265</xdr:row>
      <xdr:rowOff>142875</xdr:rowOff>
    </xdr:from>
    <xdr:to>
      <xdr:col>23</xdr:col>
      <xdr:colOff>95250</xdr:colOff>
      <xdr:row>280</xdr:row>
      <xdr:rowOff>66675</xdr:rowOff>
    </xdr:to>
    <xdr:cxnSp macro="">
      <xdr:nvCxnSpPr>
        <xdr:cNvPr id="25" name="Straight Arrow Connector 24"/>
        <xdr:cNvCxnSpPr/>
      </xdr:nvCxnSpPr>
      <xdr:spPr>
        <a:xfrm flipV="1">
          <a:off x="8658225" y="53663850"/>
          <a:ext cx="7305675" cy="30003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561975</xdr:colOff>
      <xdr:row>265</xdr:row>
      <xdr:rowOff>142875</xdr:rowOff>
    </xdr:from>
    <xdr:to>
      <xdr:col>9</xdr:col>
      <xdr:colOff>123825</xdr:colOff>
      <xdr:row>277</xdr:row>
      <xdr:rowOff>161925</xdr:rowOff>
    </xdr:to>
    <xdr:cxnSp macro="">
      <xdr:nvCxnSpPr>
        <xdr:cNvPr id="27" name="Straight Arrow Connector 26"/>
        <xdr:cNvCxnSpPr/>
      </xdr:nvCxnSpPr>
      <xdr:spPr>
        <a:xfrm flipV="1">
          <a:off x="5657850" y="49091850"/>
          <a:ext cx="781050" cy="2524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133350</xdr:colOff>
      <xdr:row>265</xdr:row>
      <xdr:rowOff>133350</xdr:rowOff>
    </xdr:from>
    <xdr:to>
      <xdr:col>16</xdr:col>
      <xdr:colOff>133350</xdr:colOff>
      <xdr:row>282</xdr:row>
      <xdr:rowOff>38100</xdr:rowOff>
    </xdr:to>
    <xdr:cxnSp macro="">
      <xdr:nvCxnSpPr>
        <xdr:cNvPr id="29" name="Straight Arrow Connector 28"/>
        <xdr:cNvCxnSpPr/>
      </xdr:nvCxnSpPr>
      <xdr:spPr>
        <a:xfrm flipV="1">
          <a:off x="5229225" y="49082325"/>
          <a:ext cx="6286500" cy="33623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285750</xdr:colOff>
      <xdr:row>261</xdr:row>
      <xdr:rowOff>142876</xdr:rowOff>
    </xdr:from>
    <xdr:to>
      <xdr:col>31</xdr:col>
      <xdr:colOff>304800</xdr:colOff>
      <xdr:row>283</xdr:row>
      <xdr:rowOff>66675</xdr:rowOff>
    </xdr:to>
    <xdr:cxnSp macro="">
      <xdr:nvCxnSpPr>
        <xdr:cNvPr id="31" name="Straight Arrow Connector 30"/>
        <xdr:cNvCxnSpPr/>
      </xdr:nvCxnSpPr>
      <xdr:spPr>
        <a:xfrm flipV="1">
          <a:off x="7210425" y="51939826"/>
          <a:ext cx="14354175" cy="43433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xdr:colOff>
      <xdr:row>360</xdr:row>
      <xdr:rowOff>9525</xdr:rowOff>
    </xdr:from>
    <xdr:ext cx="11991975" cy="3990323"/>
    <xdr:sp macro="" textlink="">
      <xdr:nvSpPr>
        <xdr:cNvPr id="33" name="TextBox 32"/>
        <xdr:cNvSpPr txBox="1"/>
      </xdr:nvSpPr>
      <xdr:spPr>
        <a:xfrm>
          <a:off x="9525" y="71961375"/>
          <a:ext cx="11991975" cy="3990323"/>
        </a:xfrm>
        <a:prstGeom prst="rect">
          <a:avLst/>
        </a:prstGeom>
        <a:solidFill>
          <a:srgbClr val="0070C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a:solidFill>
                <a:schemeClr val="bg1"/>
              </a:solidFill>
              <a:effectLst/>
              <a:latin typeface="+mn-lt"/>
              <a:ea typeface="+mn-ea"/>
              <a:cs typeface="+mn-cs"/>
            </a:rPr>
            <a:t>Takeaway:</a:t>
          </a:r>
          <a:br>
            <a:rPr lang="en-US" sz="1400">
              <a:solidFill>
                <a:schemeClr val="bg1"/>
              </a:solidFill>
              <a:effectLst/>
              <a:latin typeface="+mn-lt"/>
              <a:ea typeface="+mn-ea"/>
              <a:cs typeface="+mn-cs"/>
            </a:rPr>
          </a:br>
          <a:endParaRPr lang="en-US" sz="1400">
            <a:solidFill>
              <a:schemeClr val="bg1"/>
            </a:solidFill>
            <a:effectLst/>
          </a:endParaRPr>
        </a:p>
        <a:p>
          <a:r>
            <a:rPr lang="en-US" sz="1400">
              <a:solidFill>
                <a:schemeClr val="bg1"/>
              </a:solidFill>
              <a:effectLst/>
              <a:latin typeface="+mn-lt"/>
              <a:ea typeface="+mn-ea"/>
              <a:cs typeface="+mn-cs"/>
            </a:rPr>
            <a:t>The balancing</a:t>
          </a:r>
          <a:r>
            <a:rPr lang="en-US" sz="1400" baseline="0">
              <a:solidFill>
                <a:schemeClr val="bg1"/>
              </a:solidFill>
              <a:effectLst/>
              <a:latin typeface="+mn-lt"/>
              <a:ea typeface="+mn-ea"/>
              <a:cs typeface="+mn-cs"/>
            </a:rPr>
            <a:t> operating reserves @ tracking desired calculation (Step 1) (-$100) for operating reserves will use the Regulation setpoint and then including the potential regulation opportunity cost will return the Balancing Net Revenue to equal the value that it would have been if the resource was just providing energy (Profit/Loss From Energy Only)(-$100). </a:t>
          </a:r>
          <a:endParaRPr lang="en-US" sz="1400">
            <a:solidFill>
              <a:schemeClr val="bg1"/>
            </a:solidFill>
            <a:effectLst/>
          </a:endParaRPr>
        </a:p>
        <a:p>
          <a:endParaRPr lang="en-US" sz="1400" baseline="0">
            <a:solidFill>
              <a:schemeClr val="bg1"/>
            </a:solidFill>
            <a:effectLst/>
            <a:latin typeface="+mn-lt"/>
            <a:ea typeface="+mn-ea"/>
            <a:cs typeface="+mn-cs"/>
          </a:endParaRPr>
        </a:p>
        <a:p>
          <a:r>
            <a:rPr lang="en-US" sz="1400" baseline="0">
              <a:solidFill>
                <a:schemeClr val="bg1"/>
              </a:solidFill>
              <a:effectLst/>
              <a:latin typeface="+mn-lt"/>
              <a:ea typeface="+mn-ea"/>
              <a:cs typeface="+mn-cs"/>
            </a:rPr>
            <a:t>The balancing operating reserves @ RT MW calculation (Step 2) (-$107.78) for operating reserves will use the RT MW for the five minute interval  and then including the regulation opportunity cost will cause the Bal Net Revenue to equal the profit/loss that does not include any profit above the opportunity cost from the regulation market (-$107.78).</a:t>
          </a:r>
          <a:endParaRPr lang="en-US" sz="1400">
            <a:solidFill>
              <a:schemeClr val="bg1"/>
            </a:solidFill>
            <a:effectLst/>
          </a:endParaRPr>
        </a:p>
        <a:p>
          <a:endParaRPr lang="en-US" sz="1400" baseline="0">
            <a:solidFill>
              <a:schemeClr val="bg1"/>
            </a:solidFill>
            <a:effectLst/>
            <a:latin typeface="+mn-lt"/>
            <a:ea typeface="+mn-ea"/>
            <a:cs typeface="+mn-cs"/>
          </a:endParaRPr>
        </a:p>
        <a:p>
          <a:r>
            <a:rPr lang="en-US" sz="1400" baseline="0">
              <a:solidFill>
                <a:schemeClr val="bg1"/>
              </a:solidFill>
              <a:effectLst/>
              <a:latin typeface="+mn-lt"/>
              <a:ea typeface="+mn-ea"/>
              <a:cs typeface="+mn-cs"/>
            </a:rPr>
            <a:t>Operating Reserves will account for the opportunity cost that is being used to keep the resource indifferent between providing energy and regulation. In this scenario, the regulation provided caused an increase in output that requires a make-whole payment that is covered by Regulation. If the opportunity cost was not included in operating reserves, then regulation would make the resource whole and operating reserves may make the resource whole for the same MW (Double Counting).  If the Regulation Opportunity Cost was excluded from the Balancing Operating Reserve calculation, that calculation would yield a Balancing Net Revenue of ($240), which is a greater loss than what the resource actually incurred based on its Profit/Loss of  </a:t>
          </a:r>
          <a:r>
            <a:rPr lang="en-US" sz="1400" b="1" u="sng" baseline="0">
              <a:solidFill>
                <a:schemeClr val="bg1"/>
              </a:solidFill>
              <a:effectLst/>
              <a:latin typeface="+mn-lt"/>
              <a:ea typeface="+mn-ea"/>
              <a:cs typeface="+mn-cs"/>
            </a:rPr>
            <a:t>($100) </a:t>
          </a:r>
          <a:r>
            <a:rPr lang="en-US" sz="1400" baseline="0">
              <a:solidFill>
                <a:schemeClr val="bg1"/>
              </a:solidFill>
              <a:effectLst/>
              <a:latin typeface="+mn-lt"/>
              <a:ea typeface="+mn-ea"/>
              <a:cs typeface="+mn-cs"/>
            </a:rPr>
            <a:t>or ($107.78) . This would lead to a Balancing Operating Reserve Credit that was greater than what the resource actually needed to cover its loss in the energy market and the recovery of that opportunity cost through both the regulation market and Operating Reserve Credits.</a:t>
          </a:r>
          <a:endParaRPr lang="en-US" sz="1400">
            <a:solidFill>
              <a:schemeClr val="bg1"/>
            </a:solidFill>
            <a:effectLst/>
          </a:endParaRPr>
        </a:p>
        <a:p>
          <a:endParaRPr lang="en-US" sz="1100">
            <a:solidFill>
              <a:srgbClr val="FFFF00"/>
            </a:solidFill>
          </a:endParaRPr>
        </a:p>
      </xdr:txBody>
    </xdr:sp>
    <xdr:clientData/>
  </xdr:oneCellAnchor>
  <xdr:twoCellAnchor>
    <xdr:from>
      <xdr:col>8</xdr:col>
      <xdr:colOff>19050</xdr:colOff>
      <xdr:row>349</xdr:row>
      <xdr:rowOff>171450</xdr:rowOff>
    </xdr:from>
    <xdr:to>
      <xdr:col>9</xdr:col>
      <xdr:colOff>561975</xdr:colOff>
      <xdr:row>362</xdr:row>
      <xdr:rowOff>152400</xdr:rowOff>
    </xdr:to>
    <xdr:cxnSp macro="">
      <xdr:nvCxnSpPr>
        <xdr:cNvPr id="35" name="Straight Arrow Connector 34"/>
        <xdr:cNvCxnSpPr/>
      </xdr:nvCxnSpPr>
      <xdr:spPr>
        <a:xfrm flipV="1">
          <a:off x="5724525" y="69618225"/>
          <a:ext cx="1152525" cy="2676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190500</xdr:colOff>
      <xdr:row>349</xdr:row>
      <xdr:rowOff>123826</xdr:rowOff>
    </xdr:from>
    <xdr:to>
      <xdr:col>23</xdr:col>
      <xdr:colOff>285750</xdr:colOff>
      <xdr:row>365</xdr:row>
      <xdr:rowOff>57150</xdr:rowOff>
    </xdr:to>
    <xdr:cxnSp macro="">
      <xdr:nvCxnSpPr>
        <xdr:cNvPr id="37" name="Straight Arrow Connector 36"/>
        <xdr:cNvCxnSpPr/>
      </xdr:nvCxnSpPr>
      <xdr:spPr>
        <a:xfrm flipV="1">
          <a:off x="2847975" y="70713601"/>
          <a:ext cx="13306425" cy="32003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57150</xdr:colOff>
      <xdr:row>349</xdr:row>
      <xdr:rowOff>133350</xdr:rowOff>
    </xdr:from>
    <xdr:to>
      <xdr:col>16</xdr:col>
      <xdr:colOff>314325</xdr:colOff>
      <xdr:row>367</xdr:row>
      <xdr:rowOff>85725</xdr:rowOff>
    </xdr:to>
    <xdr:cxnSp macro="">
      <xdr:nvCxnSpPr>
        <xdr:cNvPr id="39" name="Straight Arrow Connector 38"/>
        <xdr:cNvCxnSpPr/>
      </xdr:nvCxnSpPr>
      <xdr:spPr>
        <a:xfrm flipV="1">
          <a:off x="5153025" y="69580125"/>
          <a:ext cx="6543675" cy="3600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345</xdr:row>
      <xdr:rowOff>114301</xdr:rowOff>
    </xdr:from>
    <xdr:to>
      <xdr:col>31</xdr:col>
      <xdr:colOff>390525</xdr:colOff>
      <xdr:row>369</xdr:row>
      <xdr:rowOff>152400</xdr:rowOff>
    </xdr:to>
    <xdr:cxnSp macro="">
      <xdr:nvCxnSpPr>
        <xdr:cNvPr id="41" name="Straight Arrow Connector 40"/>
        <xdr:cNvCxnSpPr/>
      </xdr:nvCxnSpPr>
      <xdr:spPr>
        <a:xfrm flipV="1">
          <a:off x="2466975" y="69932551"/>
          <a:ext cx="19183350" cy="48386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7:X206"/>
  <sheetViews>
    <sheetView tabSelected="1" zoomScaleNormal="100" workbookViewId="0">
      <selection activeCell="U229" sqref="U229"/>
    </sheetView>
  </sheetViews>
  <sheetFormatPr defaultRowHeight="15" x14ac:dyDescent="0.25"/>
  <cols>
    <col min="1" max="1" width="13.28515625" customWidth="1"/>
    <col min="2" max="2" width="16.7109375" customWidth="1"/>
  </cols>
  <sheetData>
    <row r="57" spans="1:20" ht="21" x14ac:dyDescent="0.35">
      <c r="A57" s="112" t="s">
        <v>95</v>
      </c>
      <c r="B57" s="112"/>
      <c r="C57" s="112"/>
      <c r="D57" s="112"/>
      <c r="E57" s="112"/>
      <c r="F57" s="112"/>
      <c r="G57" s="112"/>
      <c r="H57" s="112"/>
      <c r="I57" s="112"/>
      <c r="J57" s="112"/>
      <c r="K57" s="112"/>
      <c r="L57" s="112"/>
      <c r="M57" s="112"/>
      <c r="N57" s="112"/>
      <c r="O57" s="112"/>
      <c r="P57" s="112"/>
      <c r="Q57" s="112"/>
      <c r="R57" s="112"/>
      <c r="S57" s="112"/>
      <c r="T57" s="112"/>
    </row>
    <row r="58" spans="1:20" ht="15.75" thickBot="1" x14ac:dyDescent="0.3">
      <c r="A58" s="111" t="s">
        <v>40</v>
      </c>
      <c r="B58" s="110"/>
      <c r="C58" s="110"/>
      <c r="D58" s="109"/>
      <c r="E58" s="59" t="s">
        <v>88</v>
      </c>
      <c r="F58" s="108"/>
      <c r="G58" s="108"/>
      <c r="H58" s="107"/>
      <c r="I58" s="59" t="s">
        <v>36</v>
      </c>
      <c r="J58" s="108"/>
      <c r="K58" s="108"/>
      <c r="L58" s="107"/>
    </row>
    <row r="59" spans="1:20" ht="30.75" thickBot="1" x14ac:dyDescent="0.3">
      <c r="A59" s="106" t="s">
        <v>35</v>
      </c>
      <c r="B59" s="89" t="s">
        <v>34</v>
      </c>
      <c r="C59" s="89" t="s">
        <v>33</v>
      </c>
      <c r="D59" s="105" t="s">
        <v>39</v>
      </c>
      <c r="E59" s="90" t="s">
        <v>38</v>
      </c>
      <c r="F59" s="89" t="s">
        <v>37</v>
      </c>
      <c r="G59" s="89" t="s">
        <v>32</v>
      </c>
      <c r="H59" s="88" t="s">
        <v>31</v>
      </c>
      <c r="I59" s="90" t="s">
        <v>38</v>
      </c>
      <c r="J59" s="89" t="s">
        <v>37</v>
      </c>
      <c r="K59" s="89" t="s">
        <v>32</v>
      </c>
      <c r="L59" s="88" t="s">
        <v>31</v>
      </c>
    </row>
    <row r="60" spans="1:20" x14ac:dyDescent="0.25">
      <c r="A60" s="104">
        <v>1</v>
      </c>
      <c r="B60" s="102">
        <v>0</v>
      </c>
      <c r="C60" s="102">
        <v>50</v>
      </c>
      <c r="D60" s="84">
        <v>20</v>
      </c>
      <c r="E60" s="103">
        <f>IF(MIN(C81,C97)=C60,C60,0)</f>
        <v>0</v>
      </c>
      <c r="F60" s="102">
        <f>IF(MAX(C81,C97)=C60,C60,0)</f>
        <v>0</v>
      </c>
      <c r="G60" s="85">
        <f>IF(E60&gt;0,D60,0)</f>
        <v>0</v>
      </c>
      <c r="H60" s="84">
        <f>IF(F60&gt;0,IF(F60=B60,D60,IF(AND(F60&gt;B60,F60&lt;=C60),D60+(F60-B60)*((D60-D60)/(C60-B60)),0)),0)</f>
        <v>0</v>
      </c>
      <c r="I60" s="103">
        <f>IF(MIN(C81,C97)=C60,C60,0)</f>
        <v>0</v>
      </c>
      <c r="J60" s="102">
        <f>IF(MAX(C81,C97)=C60,C60,0)</f>
        <v>0</v>
      </c>
      <c r="K60" s="85">
        <f>IF(I60&gt;0,D60,0)</f>
        <v>0</v>
      </c>
      <c r="L60" s="84">
        <f>IF(J60&gt;0,IF(J60=B60,D60,IF(AND(J60&gt;B60,J60&lt;=C60),D60+(J60-B60)*((D60-D60)/(C60-B60)),0)),0)</f>
        <v>0</v>
      </c>
    </row>
    <row r="61" spans="1:20" x14ac:dyDescent="0.25">
      <c r="A61" s="30">
        <v>2</v>
      </c>
      <c r="B61" s="29">
        <v>50</v>
      </c>
      <c r="C61" s="29">
        <v>75</v>
      </c>
      <c r="D61" s="81">
        <v>25</v>
      </c>
      <c r="E61" s="101">
        <f>IF(AND(MIN(C81,C97)&gt;B61,MIN(C81,C97)&lt;=C61),MIN(C81,C97),0)</f>
        <v>0</v>
      </c>
      <c r="F61" s="29">
        <f>IF(AND(MAX(C81,C97)&gt;B61,MAX(C81,C97)&lt;=C61),MAX(C81,C97),0)</f>
        <v>0</v>
      </c>
      <c r="G61" s="1">
        <f>IF(E61&gt;0,IF(E61=B61,D61,IF(AND(E61&gt;B61,E61&lt;=C61),D60+(E61-B61)*((D61-D60)/(C61-B61)),0)),0)</f>
        <v>0</v>
      </c>
      <c r="H61" s="81">
        <f>IF(F61&gt;0,IF(F61=B61,D61,IF(AND(F61&gt;B61,F61&lt;=C61),D60+(F61-B61)*((D61-D60)/(C61-B61)),0)),0)</f>
        <v>0</v>
      </c>
      <c r="I61" s="101">
        <f>IF(AND(MIN(C81,C97)&gt;B61,MIN(C81,C97)&lt;=C61),MIN(C81,C97),0)</f>
        <v>0</v>
      </c>
      <c r="J61" s="29">
        <f>IF(AND(MAX(C81,C97)&gt;B61,MAX(C81,C97)&lt;=C61),MAX(C81,C97),0)</f>
        <v>0</v>
      </c>
      <c r="K61" s="1">
        <f>IF(I61&gt;0,IF(I61=B61,D61,IF(AND(I61&gt;B61,I61&lt;=C61),D60+(I61-B61)*((D61-D60)/(C61-B61)),0)),0)</f>
        <v>0</v>
      </c>
      <c r="L61" s="81">
        <f>IF(J61&gt;0,IF(J61=B61,D61,IF(AND(J61&gt;B61,J61&lt;=C61),D60+(J61-B61)*((D61-D60)/(C61-B61)),0)),0)</f>
        <v>0</v>
      </c>
    </row>
    <row r="62" spans="1:20" ht="15.75" thickBot="1" x14ac:dyDescent="0.3">
      <c r="A62" s="100">
        <v>3</v>
      </c>
      <c r="B62" s="98">
        <v>75</v>
      </c>
      <c r="C62" s="98">
        <v>100</v>
      </c>
      <c r="D62" s="97">
        <v>30</v>
      </c>
      <c r="E62" s="99">
        <f>IF(AND(MIN(C81,C97)&gt;B62,MIN(C81,C97)&lt;=C62),MIN(C81,C97),0)</f>
        <v>80</v>
      </c>
      <c r="F62" s="98">
        <f>IF(OR(AND(MAX(C81,C97)&gt;B62,MAX(C81,C97)&lt;=C62),MAX(C81,C97)&gt;C62),MAX(C81,C97),0)</f>
        <v>100</v>
      </c>
      <c r="G62" s="23">
        <f>IF(E62&gt;0,IF(E62=B62,D62,IF(AND(E62&gt;B62,E62&lt;=C62),D61+(E62-B62)*((D62-D61)/(C62-B62)),IF(E62&gt;C62,D62,0))),0)</f>
        <v>26</v>
      </c>
      <c r="H62" s="97">
        <f>IF(F62&gt;0,IF(F62=B62,D62,IF(AND(F62&gt;B62,F62&lt;=C62),D61+(F62-B62)*((D62-D61)/(C62-B62)),IF(F62&gt;C62,D62,0))),0)</f>
        <v>30</v>
      </c>
      <c r="I62" s="99">
        <f>IF(AND(MIN(C81,C97)&gt;B62,MIN(C81,C97)&lt;=C62),MIN(C81,C97),0)</f>
        <v>80</v>
      </c>
      <c r="J62" s="98">
        <f>IF(AND(MAX(C81,C97)&gt;B62,MAX(C81,C97)&lt;=C62),MAX(C81,C97),0)</f>
        <v>100</v>
      </c>
      <c r="K62" s="23">
        <f>IF(I62&gt;0,IF(I62=B62,D62,IF(AND(I62&gt;B62,I62&lt;=C62),D61+(I62-B62)*((D62-D61)/(C62-B62)),IF(I62&gt;C62,D62,0))),0)</f>
        <v>26</v>
      </c>
      <c r="L62" s="97">
        <f>IF(J62&gt;0,IF(J62=B62,D62,IF(AND(J62&gt;B62,J62&lt;=C62),D61+(J62-B62)*((D62-D61)/(C62-B62)),IF(J62&gt;C62,D62,0))),0)</f>
        <v>30</v>
      </c>
    </row>
    <row r="63" spans="1:20" ht="15.75" thickBot="1" x14ac:dyDescent="0.3">
      <c r="J63" s="96"/>
    </row>
    <row r="64" spans="1:20" ht="15.75" thickBot="1" x14ac:dyDescent="0.3">
      <c r="B64" s="53" t="s">
        <v>88</v>
      </c>
      <c r="C64" s="95"/>
      <c r="D64" s="95"/>
      <c r="E64" s="95"/>
      <c r="F64" s="95"/>
      <c r="G64" s="94"/>
      <c r="I64" s="53" t="s">
        <v>36</v>
      </c>
      <c r="J64" s="95"/>
      <c r="K64" s="95"/>
      <c r="L64" s="95"/>
      <c r="M64" s="95"/>
      <c r="N64" s="94"/>
    </row>
    <row r="65" spans="1:24" ht="30.75" thickBot="1" x14ac:dyDescent="0.3">
      <c r="B65" s="93" t="s">
        <v>35</v>
      </c>
      <c r="C65" s="92" t="s">
        <v>34</v>
      </c>
      <c r="D65" s="92" t="s">
        <v>33</v>
      </c>
      <c r="E65" s="92" t="s">
        <v>32</v>
      </c>
      <c r="F65" s="92" t="s">
        <v>31</v>
      </c>
      <c r="G65" s="91" t="s">
        <v>30</v>
      </c>
      <c r="I65" s="90" t="s">
        <v>35</v>
      </c>
      <c r="J65" s="89" t="s">
        <v>34</v>
      </c>
      <c r="K65" s="89" t="s">
        <v>33</v>
      </c>
      <c r="L65" s="89" t="s">
        <v>32</v>
      </c>
      <c r="M65" s="89" t="s">
        <v>31</v>
      </c>
      <c r="N65" s="88" t="s">
        <v>30</v>
      </c>
    </row>
    <row r="66" spans="1:24" x14ac:dyDescent="0.25">
      <c r="B66" s="87">
        <v>1</v>
      </c>
      <c r="C66" s="86">
        <v>0</v>
      </c>
      <c r="D66" s="86">
        <f>MIN(I60,C60)</f>
        <v>0</v>
      </c>
      <c r="E66" s="85">
        <f>IF(C66&lt;&gt;0,MIN(D60,G60),0)</f>
        <v>0</v>
      </c>
      <c r="F66" s="85">
        <f>IF(AND(D66&gt;B60,D66&lt;C60),H60,IF(D66&gt;=C60,D60,0))</f>
        <v>0</v>
      </c>
      <c r="G66" s="84">
        <f>(D66-C66)*(E66+F66)/2</f>
        <v>0</v>
      </c>
      <c r="I66" s="83">
        <v>1</v>
      </c>
      <c r="J66" s="82">
        <v>0</v>
      </c>
      <c r="K66" s="82">
        <f>MIN(I60,C60)</f>
        <v>0</v>
      </c>
      <c r="L66" s="1">
        <f>IF(J66&lt;&gt;0,MIN(D60,K60),0)</f>
        <v>0</v>
      </c>
      <c r="M66" s="1">
        <f>IF(AND(K66&gt;B60,K66&lt;C60),L60,IF(K66&gt;=C60,D60,0))</f>
        <v>0</v>
      </c>
      <c r="N66" s="81">
        <f>(K66-J66)*(L66+M66)/2</f>
        <v>0</v>
      </c>
    </row>
    <row r="67" spans="1:24" x14ac:dyDescent="0.25">
      <c r="B67" s="83">
        <v>2</v>
      </c>
      <c r="C67" s="82">
        <f>IF(D66&gt;0,B61,MIN(C61,E61))</f>
        <v>0</v>
      </c>
      <c r="D67" s="82">
        <f>IF(AND(C67&gt;0,MAX(F60:F62)&lt;C61),MAX(F60:F62),IF(AND(MAX(F60:F62)&gt;=C61,C67&gt;0),C61,0))</f>
        <v>0</v>
      </c>
      <c r="E67" s="1">
        <f>IF(C67&lt;&gt;0,MIN(D61,G61),0)</f>
        <v>0</v>
      </c>
      <c r="F67" s="1">
        <f>IF(AND(D67&gt;B61,D67&lt;C61),H61,IF(D67&gt;=C61,D61,0))</f>
        <v>0</v>
      </c>
      <c r="G67" s="81">
        <f>(D67-C67)*(E67+F67)/2</f>
        <v>0</v>
      </c>
      <c r="I67" s="83">
        <v>2</v>
      </c>
      <c r="J67" s="82">
        <f>IF(K66&gt;0,B61,MIN(C61,I61))</f>
        <v>0</v>
      </c>
      <c r="K67" s="82">
        <f>IF(AND(J67&gt;0,MAX(J60:J62)&lt;C61),MAX(J60:J62),IF(AND(MAX(J60:J62)&gt;=C61,J67&gt;0),C61,0))</f>
        <v>0</v>
      </c>
      <c r="L67" s="1">
        <f>IF(J67&lt;&gt;0,MIN(D61,K61),0)</f>
        <v>0</v>
      </c>
      <c r="M67" s="1">
        <f>IF(AND(K67&gt;B61,K67&lt;C61),L61,IF(K67&gt;=C61,D61,0))</f>
        <v>0</v>
      </c>
      <c r="N67" s="81">
        <f>(K67-J67)*(L67+M67)/2</f>
        <v>0</v>
      </c>
    </row>
    <row r="68" spans="1:24" x14ac:dyDescent="0.25">
      <c r="B68" s="83">
        <v>3</v>
      </c>
      <c r="C68" s="82">
        <f>IF(AND(D67&gt;0,MAX(F60:F62)&gt;C61),B62,IF(AND(MAX(E60:E62)&gt;B62,MAX(E60:E62)&lt;C62),MAX(E60:E62),MIN(C62,E61)))</f>
        <v>80</v>
      </c>
      <c r="D68" s="82">
        <f>IF(AND(MAX(F60:F62)&gt;B62,MAX(F60:F62)&lt;C62),MAX(F60:F62),IF(MAX(F60:F62)&gt;=C62,C62,0))</f>
        <v>100</v>
      </c>
      <c r="E68" s="1">
        <f>IF(AND(C68&lt;&gt;0,D67&lt;&gt;0),F67,IF(MAX(E60:E62)=C68,MAX(G60:G62),0))</f>
        <v>26</v>
      </c>
      <c r="F68" s="1">
        <f>IF(AND(D68&gt;B62,D68&lt;C62),H62,IF(D68&gt;=C62,D62,0))</f>
        <v>30</v>
      </c>
      <c r="G68" s="81">
        <f>(D68-C68)*(E68+F68)/2</f>
        <v>560</v>
      </c>
      <c r="I68" s="83">
        <v>3</v>
      </c>
      <c r="J68" s="82">
        <f>IF(AND(K67&gt;0,MAX(J60:J62)&gt;C61),B62,IF(AND(MAX(I60:I62)&gt;B62,MAX(I60:I62)&lt;C62),MAX(I60:I62),MIN(C62,I61)))</f>
        <v>80</v>
      </c>
      <c r="K68" s="82">
        <f>IF(AND(MAX(J60:J62)&gt;B62,MAX(J60:J62)&lt;C62),MAX(J60:J62),IF(MAX(J60:J62)&gt;=C62,C62,0))</f>
        <v>100</v>
      </c>
      <c r="L68" s="1">
        <f>IF(AND(J68&lt;&gt;0,K67&lt;&gt;0),M67,IF(MAX(I60:I62)=J68,MAX(K60:K62),0))</f>
        <v>26</v>
      </c>
      <c r="M68" s="1">
        <f>IF(AND(K68&gt;B62,K68&lt;C62),L62,IF(K68&gt;=C62,D62,0))</f>
        <v>30</v>
      </c>
      <c r="N68" s="81">
        <f>(K68-J68)*(L68+M68)/2</f>
        <v>560</v>
      </c>
    </row>
    <row r="69" spans="1:24" x14ac:dyDescent="0.25">
      <c r="B69" s="83">
        <v>4</v>
      </c>
      <c r="C69" s="82">
        <f>IF(C81&gt;C62,D68,0)</f>
        <v>0</v>
      </c>
      <c r="D69" s="82">
        <f>IF(F62&gt;C62,F62,IF(AND(F62&gt;C62,F62&lt;C62),F62,0))</f>
        <v>0</v>
      </c>
      <c r="E69" s="1">
        <f>IF(C69&lt;&gt;0,MIN(D63,H62),0)</f>
        <v>0</v>
      </c>
      <c r="F69" s="1">
        <f>IF(D69&gt;0,IF(D69&gt;=C62,H62,IF(AND(D69&gt;B62,D69&lt;C62),H62,0)),0)</f>
        <v>0</v>
      </c>
      <c r="G69" s="81">
        <f>(D69-C69)*(E69+F69)/2</f>
        <v>0</v>
      </c>
      <c r="I69" s="83">
        <v>4</v>
      </c>
      <c r="J69" s="82">
        <f>IF(C81&gt;C62,K68,0)</f>
        <v>0</v>
      </c>
      <c r="K69" s="82">
        <f>IF(J62&gt;C62,J62,IF(AND(J62&gt;C62,J62&lt;C62),J62,0))</f>
        <v>0</v>
      </c>
      <c r="L69" s="1">
        <f>IF(J69&lt;&gt;0,MIN(D63,L62),0)</f>
        <v>0</v>
      </c>
      <c r="M69" s="1">
        <f>IF(K69&gt;0,IF(K69&gt;=C62,L62,IF(AND(K69&gt;B62,K69&lt;C62),L62,0)),0)</f>
        <v>0</v>
      </c>
      <c r="N69" s="81">
        <f>(K69-J69)*(L69+M69)/2</f>
        <v>0</v>
      </c>
    </row>
    <row r="70" spans="1:24" ht="15.75" thickBot="1" x14ac:dyDescent="0.3">
      <c r="B70" s="80"/>
      <c r="C70" s="79"/>
      <c r="D70" s="79"/>
      <c r="E70" s="79"/>
      <c r="F70" s="79"/>
      <c r="G70" s="78">
        <f>SUM(G66:G69)</f>
        <v>560</v>
      </c>
      <c r="I70" s="80"/>
      <c r="J70" s="79"/>
      <c r="K70" s="79"/>
      <c r="L70" s="79"/>
      <c r="M70" s="79"/>
      <c r="N70" s="78">
        <f>SUM(N66:N69)</f>
        <v>560</v>
      </c>
    </row>
    <row r="71" spans="1:24" x14ac:dyDescent="0.25">
      <c r="B71" s="211"/>
      <c r="C71" s="211"/>
      <c r="D71" s="211"/>
      <c r="E71" s="211"/>
      <c r="F71" s="211"/>
      <c r="G71" s="1"/>
      <c r="I71" s="211"/>
      <c r="J71" s="211"/>
      <c r="K71" s="211"/>
      <c r="L71" s="211"/>
      <c r="M71" s="211"/>
      <c r="N71" s="1"/>
    </row>
    <row r="72" spans="1:24" x14ac:dyDescent="0.25">
      <c r="A72" s="212"/>
      <c r="B72" s="211"/>
      <c r="C72" s="211"/>
      <c r="D72" s="211"/>
      <c r="E72" s="211"/>
      <c r="F72" s="211"/>
      <c r="G72" s="1"/>
      <c r="I72" s="211"/>
      <c r="J72" s="211"/>
      <c r="K72" s="211"/>
      <c r="L72" s="211"/>
      <c r="M72" s="211"/>
      <c r="N72" s="1"/>
    </row>
    <row r="73" spans="1:24" x14ac:dyDescent="0.25">
      <c r="A73" s="212"/>
      <c r="B73" s="211"/>
      <c r="C73" s="211"/>
      <c r="D73" s="211"/>
      <c r="E73" s="211"/>
      <c r="F73" s="211"/>
      <c r="G73" s="1"/>
      <c r="I73" s="211"/>
      <c r="J73" s="211"/>
      <c r="K73" s="211"/>
      <c r="L73" s="211"/>
      <c r="M73" s="211"/>
      <c r="N73" s="1"/>
    </row>
    <row r="74" spans="1:24" x14ac:dyDescent="0.25">
      <c r="A74" s="212"/>
      <c r="O74" s="218"/>
    </row>
    <row r="75" spans="1:24" ht="15.75" thickBot="1" x14ac:dyDescent="0.3">
      <c r="A75" s="212"/>
    </row>
    <row r="76" spans="1:24" ht="15.75" thickBot="1" x14ac:dyDescent="0.3">
      <c r="A76" s="77" t="s">
        <v>29</v>
      </c>
      <c r="B76" s="55"/>
      <c r="C76" s="55"/>
      <c r="D76" s="55"/>
      <c r="E76" s="12"/>
      <c r="F76" s="74" t="s">
        <v>100</v>
      </c>
      <c r="G76" s="76"/>
      <c r="H76" s="76"/>
      <c r="I76" s="75"/>
      <c r="J76" s="74"/>
      <c r="K76" s="73"/>
      <c r="L76" s="72"/>
      <c r="M76" s="5"/>
      <c r="N76" s="5"/>
      <c r="O76" s="5"/>
      <c r="P76" s="5"/>
      <c r="Q76" s="5"/>
      <c r="R76" s="71"/>
      <c r="T76" s="2"/>
      <c r="U76" s="2"/>
      <c r="V76" s="2"/>
      <c r="W76" s="2"/>
      <c r="X76" s="2"/>
    </row>
    <row r="77" spans="1:24" ht="15.75" thickBot="1" x14ac:dyDescent="0.3">
      <c r="A77" s="70" t="s">
        <v>28</v>
      </c>
      <c r="B77" s="69"/>
      <c r="C77" s="68"/>
      <c r="D77" s="68"/>
      <c r="E77" s="67"/>
      <c r="F77" s="37" t="str">
        <f>""&amp;C98&amp;" Regulation"</f>
        <v>Lowered Regulation</v>
      </c>
      <c r="G77" s="9"/>
      <c r="H77" s="9"/>
      <c r="I77" s="10"/>
      <c r="J77" s="9"/>
      <c r="K77" s="43"/>
      <c r="L77" s="5"/>
      <c r="M77" s="5"/>
      <c r="N77" s="5"/>
      <c r="O77" s="5"/>
      <c r="P77" s="5"/>
      <c r="Q77" s="5"/>
      <c r="R77" s="5"/>
      <c r="T77" s="2"/>
      <c r="U77" s="2"/>
      <c r="V77" s="2"/>
      <c r="W77" s="2"/>
      <c r="X77" s="2"/>
    </row>
    <row r="78" spans="1:24" ht="22.5" customHeight="1" thickBot="1" x14ac:dyDescent="0.3">
      <c r="A78" s="47" t="s">
        <v>27</v>
      </c>
      <c r="B78" s="28"/>
      <c r="C78" s="60">
        <v>80</v>
      </c>
      <c r="D78" s="27"/>
      <c r="F78" s="41" t="s">
        <v>12</v>
      </c>
      <c r="G78" s="40"/>
      <c r="H78" s="40"/>
      <c r="I78" s="41"/>
      <c r="J78" s="40" t="s">
        <v>11</v>
      </c>
      <c r="K78" s="39"/>
      <c r="L78" s="6"/>
      <c r="M78" s="3"/>
      <c r="N78" s="3"/>
      <c r="O78" s="3"/>
      <c r="P78" s="3"/>
      <c r="Q78" s="4"/>
      <c r="R78" s="3"/>
      <c r="T78" s="15"/>
      <c r="U78" s="15"/>
      <c r="V78" s="15"/>
      <c r="W78" s="15"/>
      <c r="X78" s="1"/>
    </row>
    <row r="79" spans="1:24" ht="30" x14ac:dyDescent="0.25">
      <c r="A79" s="30" t="s">
        <v>26</v>
      </c>
      <c r="B79" s="66"/>
      <c r="C79" s="1">
        <v>40</v>
      </c>
      <c r="D79" s="61"/>
      <c r="F79" s="37" t="s">
        <v>9</v>
      </c>
      <c r="G79" s="19"/>
      <c r="H79" s="19"/>
      <c r="I79" s="19"/>
      <c r="J79" s="18">
        <f>IF(C88&lt;&gt;0,(ABS(MAX(D66:D69)-MAX(C66:C69)))*C79,0)</f>
        <v>800</v>
      </c>
      <c r="K79" s="17"/>
      <c r="L79" s="15" t="s">
        <v>106</v>
      </c>
      <c r="M79" s="15"/>
      <c r="N79" s="33"/>
      <c r="O79" s="33"/>
      <c r="P79" s="33"/>
      <c r="Q79" s="14"/>
      <c r="R79" s="15"/>
      <c r="S79" s="16"/>
      <c r="T79" s="34"/>
      <c r="U79" s="33"/>
      <c r="V79" s="33"/>
      <c r="W79" s="2"/>
      <c r="X79" s="1"/>
    </row>
    <row r="80" spans="1:24" x14ac:dyDescent="0.25">
      <c r="A80" s="63" t="s">
        <v>25</v>
      </c>
      <c r="B80" s="28"/>
      <c r="C80" s="60">
        <f>C97</f>
        <v>80</v>
      </c>
      <c r="D80" s="27"/>
      <c r="F80" s="36"/>
      <c r="G80" s="35"/>
      <c r="H80" s="35"/>
      <c r="I80" s="35"/>
      <c r="J80" s="65"/>
      <c r="K80" s="64"/>
      <c r="L80" s="6"/>
      <c r="M80" s="3"/>
      <c r="N80" s="3"/>
      <c r="O80" s="3"/>
      <c r="P80" s="3"/>
      <c r="Q80" s="4"/>
      <c r="R80" s="3"/>
      <c r="T80" s="15"/>
      <c r="U80" s="15"/>
      <c r="V80" s="15"/>
      <c r="W80" s="15"/>
      <c r="X80" s="1"/>
    </row>
    <row r="81" spans="1:24" ht="30" x14ac:dyDescent="0.25">
      <c r="A81" s="63" t="s">
        <v>108</v>
      </c>
      <c r="B81" s="28"/>
      <c r="C81" s="60">
        <v>100</v>
      </c>
      <c r="D81" s="27"/>
      <c r="E81" s="54"/>
      <c r="F81" s="20" t="s">
        <v>6</v>
      </c>
      <c r="G81" s="19"/>
      <c r="H81" s="19"/>
      <c r="I81" s="19"/>
      <c r="J81" s="18">
        <f>G70</f>
        <v>560</v>
      </c>
      <c r="K81" s="17"/>
      <c r="L81" s="15" t="s">
        <v>107</v>
      </c>
      <c r="M81" s="34"/>
      <c r="N81" s="33"/>
      <c r="O81" s="33"/>
      <c r="P81" s="33"/>
      <c r="Q81" s="14"/>
      <c r="R81" s="15"/>
      <c r="S81" s="16"/>
      <c r="T81" s="34"/>
      <c r="U81" s="33"/>
      <c r="V81" s="33"/>
      <c r="W81" s="33"/>
      <c r="X81" s="14"/>
    </row>
    <row r="82" spans="1:24" x14ac:dyDescent="0.25">
      <c r="A82" s="30" t="s">
        <v>23</v>
      </c>
      <c r="B82" s="29"/>
      <c r="C82" s="1">
        <v>0</v>
      </c>
      <c r="D82" s="61"/>
      <c r="F82" s="20"/>
      <c r="G82" s="19"/>
      <c r="H82" s="19"/>
      <c r="I82" s="19"/>
      <c r="J82" s="18"/>
      <c r="K82" s="17"/>
      <c r="L82" s="3"/>
      <c r="M82" s="3"/>
      <c r="N82" s="3"/>
      <c r="O82" s="3"/>
      <c r="P82" s="3"/>
      <c r="Q82" s="4"/>
      <c r="R82" s="3"/>
      <c r="T82" s="15"/>
      <c r="U82" s="15"/>
      <c r="V82" s="15"/>
      <c r="W82" s="15"/>
      <c r="X82" s="1"/>
    </row>
    <row r="83" spans="1:24" x14ac:dyDescent="0.25">
      <c r="A83" s="62" t="s">
        <v>22</v>
      </c>
      <c r="B83" s="29"/>
      <c r="C83" s="1">
        <v>0</v>
      </c>
      <c r="D83" s="61"/>
      <c r="F83" s="20"/>
      <c r="G83" s="19"/>
      <c r="H83" s="19"/>
      <c r="I83" s="19"/>
      <c r="J83" s="18"/>
      <c r="K83" s="17"/>
      <c r="L83" s="6"/>
      <c r="M83" s="5"/>
      <c r="N83" s="5"/>
      <c r="O83" s="5"/>
      <c r="P83" s="5"/>
      <c r="Q83" s="4"/>
      <c r="R83" s="3"/>
      <c r="T83" s="2"/>
      <c r="U83" s="2"/>
      <c r="V83" s="2"/>
      <c r="W83" s="2"/>
      <c r="X83" s="26"/>
    </row>
    <row r="84" spans="1:24" x14ac:dyDescent="0.25">
      <c r="A84" s="47" t="s">
        <v>21</v>
      </c>
      <c r="B84" s="28"/>
      <c r="C84" s="60">
        <v>50</v>
      </c>
      <c r="D84" s="27"/>
      <c r="F84" s="20" t="s">
        <v>5</v>
      </c>
      <c r="G84" s="19"/>
      <c r="H84" s="19"/>
      <c r="I84" s="19"/>
      <c r="J84" s="21">
        <f>C96</f>
        <v>0.9</v>
      </c>
      <c r="K84" s="17"/>
      <c r="L84" s="3" t="s">
        <v>97</v>
      </c>
      <c r="M84" s="3"/>
      <c r="N84" s="3"/>
      <c r="O84" s="3"/>
      <c r="P84" s="3"/>
      <c r="Q84" s="4"/>
      <c r="R84" s="3"/>
      <c r="S84" s="12"/>
      <c r="T84" s="3"/>
      <c r="U84" s="3"/>
      <c r="V84" s="3"/>
      <c r="W84" s="3"/>
      <c r="X84" s="4"/>
    </row>
    <row r="85" spans="1:24" ht="15.75" thickBot="1" x14ac:dyDescent="0.3">
      <c r="A85" s="59" t="s">
        <v>20</v>
      </c>
      <c r="B85" s="58"/>
      <c r="C85" s="57">
        <v>100</v>
      </c>
      <c r="D85" s="56"/>
      <c r="E85" s="55" t="str">
        <f>""</f>
        <v/>
      </c>
      <c r="F85" s="20"/>
      <c r="G85" s="19"/>
      <c r="H85" s="19"/>
      <c r="I85" s="19"/>
      <c r="J85" s="18"/>
      <c r="K85" s="17"/>
      <c r="L85" s="6"/>
      <c r="M85" s="5"/>
      <c r="N85" s="5"/>
      <c r="O85" s="5"/>
      <c r="P85" s="5"/>
      <c r="Q85" s="4"/>
      <c r="R85" s="3"/>
      <c r="T85" s="2"/>
      <c r="U85" s="2"/>
      <c r="V85" s="2"/>
      <c r="W85" s="2"/>
      <c r="X85" s="1"/>
    </row>
    <row r="86" spans="1:24" ht="30.75" thickBot="1" x14ac:dyDescent="0.3">
      <c r="E86" s="54"/>
      <c r="F86" s="20" t="str">
        <f>"Lost Opportunity Cost: " &amp; IF(C100 = "Raised","Make-Whole","Forgone Profit")</f>
        <v>Lost Opportunity Cost: Forgone Profit</v>
      </c>
      <c r="G86" s="19"/>
      <c r="H86" s="19"/>
      <c r="I86" s="19"/>
      <c r="J86" s="18">
        <f>IF(C98 ="Raised",J81-J79,J79-J81)/J84*J84</f>
        <v>240.00000000000003</v>
      </c>
      <c r="K86" s="17"/>
      <c r="L86" s="15" t="s">
        <v>98</v>
      </c>
      <c r="M86" s="15"/>
      <c r="N86" s="15"/>
      <c r="O86" s="15"/>
      <c r="P86" s="15"/>
      <c r="Q86" s="14"/>
      <c r="R86" s="15"/>
      <c r="S86" s="16"/>
      <c r="T86" s="15"/>
      <c r="U86" s="15"/>
      <c r="V86" s="15"/>
      <c r="W86" s="15"/>
      <c r="X86" s="14"/>
    </row>
    <row r="87" spans="1:24" ht="15.75" thickBot="1" x14ac:dyDescent="0.3">
      <c r="A87" s="53" t="s">
        <v>19</v>
      </c>
      <c r="B87" s="52"/>
      <c r="C87" s="52"/>
      <c r="D87" s="51"/>
      <c r="F87" s="10"/>
      <c r="G87" s="9"/>
      <c r="H87" s="9"/>
      <c r="I87" s="9"/>
      <c r="J87" s="8"/>
      <c r="K87" s="7"/>
      <c r="L87" s="208"/>
      <c r="M87" s="5"/>
      <c r="N87" s="5"/>
      <c r="O87" s="5"/>
      <c r="P87" s="5"/>
      <c r="Q87" s="4"/>
      <c r="R87" s="3"/>
      <c r="T87" s="2"/>
      <c r="U87" s="2"/>
      <c r="V87" s="2"/>
      <c r="W87" s="2"/>
      <c r="X87" s="1"/>
    </row>
    <row r="88" spans="1:24" x14ac:dyDescent="0.25">
      <c r="A88" s="30" t="s">
        <v>18</v>
      </c>
      <c r="B88" s="29"/>
      <c r="C88" s="28">
        <v>20</v>
      </c>
      <c r="D88" s="27"/>
      <c r="F88" s="50"/>
      <c r="G88" s="49"/>
      <c r="H88" s="49"/>
      <c r="I88" s="49"/>
      <c r="J88" s="48"/>
      <c r="K88" s="6"/>
      <c r="L88" s="213"/>
      <c r="M88" s="6"/>
      <c r="N88" s="6"/>
      <c r="O88" s="6"/>
      <c r="P88" s="6"/>
      <c r="Q88" s="48"/>
      <c r="R88" s="6"/>
      <c r="S88" s="6"/>
      <c r="T88" s="6"/>
      <c r="U88" s="6"/>
    </row>
    <row r="89" spans="1:24" ht="15.75" thickBot="1" x14ac:dyDescent="0.3">
      <c r="A89" s="47" t="s">
        <v>17</v>
      </c>
      <c r="B89" s="46"/>
      <c r="C89" s="1">
        <v>25</v>
      </c>
      <c r="D89" s="27"/>
      <c r="G89" s="29"/>
      <c r="H89" s="45"/>
      <c r="I89" s="45"/>
    </row>
    <row r="90" spans="1:24" ht="15.75" thickBot="1" x14ac:dyDescent="0.3">
      <c r="A90" s="30" t="s">
        <v>16</v>
      </c>
      <c r="B90" s="29"/>
      <c r="C90" s="28">
        <v>0</v>
      </c>
      <c r="D90" s="27"/>
      <c r="F90" s="41" t="s">
        <v>101</v>
      </c>
      <c r="G90" s="40"/>
      <c r="H90" s="40"/>
      <c r="I90" s="40"/>
      <c r="J90" s="41"/>
      <c r="K90" s="44"/>
    </row>
    <row r="91" spans="1:24" ht="15.75" thickBot="1" x14ac:dyDescent="0.3">
      <c r="A91" s="30" t="s">
        <v>14</v>
      </c>
      <c r="B91" s="42"/>
      <c r="C91" s="28">
        <v>100</v>
      </c>
      <c r="D91" s="27"/>
      <c r="F91" s="37" t="str">
        <f>""&amp;C98&amp;" Regulation"</f>
        <v>Lowered Regulation</v>
      </c>
      <c r="G91" s="9"/>
      <c r="H91" s="9"/>
      <c r="I91" s="10"/>
      <c r="J91" s="9"/>
      <c r="K91" s="43"/>
    </row>
    <row r="92" spans="1:24" ht="15.75" thickBot="1" x14ac:dyDescent="0.3">
      <c r="A92" s="30" t="s">
        <v>13</v>
      </c>
      <c r="B92" s="42"/>
      <c r="C92" s="28">
        <v>50</v>
      </c>
      <c r="D92" s="27"/>
      <c r="F92" s="41" t="s">
        <v>12</v>
      </c>
      <c r="G92" s="40"/>
      <c r="H92" s="40"/>
      <c r="I92" s="41"/>
      <c r="J92" s="40" t="s">
        <v>11</v>
      </c>
      <c r="K92" s="39"/>
    </row>
    <row r="93" spans="1:24" ht="30" x14ac:dyDescent="0.25">
      <c r="A93" s="32" t="s">
        <v>10</v>
      </c>
      <c r="B93" s="38"/>
      <c r="C93" s="28">
        <v>0.85</v>
      </c>
      <c r="D93" s="27"/>
      <c r="F93" s="37" t="s">
        <v>9</v>
      </c>
      <c r="G93" s="19"/>
      <c r="H93" s="19"/>
      <c r="I93" s="19"/>
      <c r="J93" s="18">
        <f>IF(C88&lt;&gt;0,(ABS(MAX(K66:K69)-MAX(J66:J69)))*C79,0)</f>
        <v>800</v>
      </c>
      <c r="K93" s="17"/>
      <c r="L93" s="15" t="s">
        <v>106</v>
      </c>
      <c r="M93" s="15"/>
      <c r="N93" s="33"/>
      <c r="O93" s="33"/>
      <c r="P93" s="33"/>
      <c r="Q93" s="14"/>
      <c r="R93" s="15"/>
      <c r="S93" s="16"/>
      <c r="T93" s="34"/>
      <c r="U93" s="33"/>
      <c r="V93" s="33"/>
      <c r="W93" s="2"/>
      <c r="X93" s="1"/>
    </row>
    <row r="94" spans="1:24" x14ac:dyDescent="0.25">
      <c r="A94" s="30" t="s">
        <v>99</v>
      </c>
      <c r="B94" s="29"/>
      <c r="C94" s="28">
        <f>IF(C92+C88&gt;C81,MIN((1+C90)*C88+C92,C78),IF(AND(C92+C88&lt;=C81,C91-C88&gt;=C81),IF(C90&gt;0,MIN(C90*C88+C81,C78),MAX(C90*C88+C81,C78)),MAX(C91-(1-C90)*C88,C78)))</f>
        <v>80</v>
      </c>
      <c r="D94" s="27"/>
      <c r="F94" s="36"/>
      <c r="G94" s="35"/>
      <c r="H94" s="35"/>
      <c r="I94" s="35"/>
      <c r="J94" s="18"/>
      <c r="K94" s="17"/>
      <c r="L94" s="6"/>
      <c r="M94" s="3"/>
      <c r="N94" s="3"/>
      <c r="O94" s="3"/>
      <c r="P94" s="3"/>
      <c r="Q94" s="4"/>
      <c r="R94" s="3"/>
      <c r="T94" s="15"/>
      <c r="U94" s="15"/>
      <c r="V94" s="15"/>
      <c r="W94" s="15"/>
      <c r="X94" s="1"/>
    </row>
    <row r="95" spans="1:24" ht="30" x14ac:dyDescent="0.25">
      <c r="A95" s="30" t="s">
        <v>7</v>
      </c>
      <c r="B95" s="29"/>
      <c r="C95" s="1">
        <v>0</v>
      </c>
      <c r="D95" s="27"/>
      <c r="F95" s="20" t="s">
        <v>6</v>
      </c>
      <c r="G95" s="19"/>
      <c r="H95" s="19"/>
      <c r="I95" s="19"/>
      <c r="J95" s="18">
        <f>N70</f>
        <v>560</v>
      </c>
      <c r="K95" s="17"/>
      <c r="L95" s="15" t="s">
        <v>107</v>
      </c>
      <c r="M95" s="34"/>
      <c r="N95" s="33"/>
      <c r="O95" s="33"/>
      <c r="P95" s="33"/>
      <c r="Q95" s="14"/>
      <c r="R95" s="15"/>
      <c r="S95" s="16"/>
      <c r="T95" s="34"/>
      <c r="U95" s="33"/>
      <c r="V95" s="33"/>
      <c r="W95" s="33"/>
      <c r="X95" s="14"/>
    </row>
    <row r="96" spans="1:24" x14ac:dyDescent="0.25">
      <c r="A96" s="32" t="s">
        <v>5</v>
      </c>
      <c r="B96" s="31"/>
      <c r="C96" s="28">
        <v>0.9</v>
      </c>
      <c r="D96" s="27"/>
      <c r="F96" s="20"/>
      <c r="G96" s="19"/>
      <c r="H96" s="19"/>
      <c r="I96" s="19"/>
      <c r="J96" s="18"/>
      <c r="K96" s="17"/>
      <c r="L96" s="3"/>
      <c r="M96" s="3"/>
      <c r="N96" s="3"/>
      <c r="O96" s="3"/>
      <c r="P96" s="3"/>
      <c r="Q96" s="4"/>
      <c r="R96" s="3"/>
      <c r="T96" s="15"/>
      <c r="U96" s="15"/>
      <c r="V96" s="15"/>
      <c r="W96" s="15"/>
      <c r="X96" s="1"/>
    </row>
    <row r="97" spans="1:24" x14ac:dyDescent="0.25">
      <c r="A97" s="30" t="s">
        <v>90</v>
      </c>
      <c r="B97" s="29"/>
      <c r="C97" s="28">
        <f>IF(C92+C88&gt;C81,C88+C92,IF(AND(C92+C88&lt;=C81,C91-C88&gt;=C81),C81,C91-C88))</f>
        <v>80</v>
      </c>
      <c r="D97" s="27"/>
      <c r="F97" s="20" t="s">
        <v>5</v>
      </c>
      <c r="G97" s="19"/>
      <c r="H97" s="19"/>
      <c r="I97" s="19"/>
      <c r="J97" s="21">
        <f>C96</f>
        <v>0.9</v>
      </c>
      <c r="K97" s="17"/>
      <c r="L97" s="3" t="s">
        <v>4</v>
      </c>
      <c r="M97" s="5"/>
      <c r="N97" s="5"/>
      <c r="O97" s="5"/>
      <c r="P97" s="5"/>
      <c r="Q97" s="4"/>
      <c r="R97" s="3"/>
      <c r="T97" s="2"/>
      <c r="U97" s="2"/>
      <c r="V97" s="2"/>
      <c r="W97" s="2"/>
      <c r="X97" s="26"/>
    </row>
    <row r="98" spans="1:24" ht="15.75" thickBot="1" x14ac:dyDescent="0.3">
      <c r="A98" s="25" t="s">
        <v>3</v>
      </c>
      <c r="B98" s="24"/>
      <c r="C98" s="23" t="str">
        <f>IF(C97&gt;C81,"Raised","Lowered")</f>
        <v>Lowered</v>
      </c>
      <c r="D98" s="22"/>
      <c r="F98" s="214" t="s">
        <v>2</v>
      </c>
      <c r="G98" s="19"/>
      <c r="H98" s="19"/>
      <c r="I98" s="19"/>
      <c r="J98" s="21">
        <f>C93</f>
        <v>0.85</v>
      </c>
      <c r="K98" s="17"/>
      <c r="L98" s="3" t="s">
        <v>1</v>
      </c>
      <c r="M98" s="3"/>
      <c r="N98" s="3"/>
      <c r="O98" s="3"/>
      <c r="P98" s="3"/>
      <c r="Q98" s="4"/>
      <c r="R98" s="3"/>
      <c r="S98" s="12"/>
      <c r="T98" s="3"/>
      <c r="U98" s="3"/>
      <c r="V98" s="3"/>
      <c r="W98" s="3"/>
      <c r="X98" s="4"/>
    </row>
    <row r="99" spans="1:24" x14ac:dyDescent="0.25">
      <c r="A99" s="13"/>
      <c r="B99" s="12"/>
      <c r="C99" s="4"/>
      <c r="D99" s="11"/>
      <c r="F99" s="20"/>
      <c r="G99" s="19"/>
      <c r="H99" s="19"/>
      <c r="I99" s="19"/>
      <c r="J99" s="18"/>
      <c r="K99" s="17"/>
      <c r="L99" s="6"/>
      <c r="M99" s="5"/>
      <c r="N99" s="5"/>
      <c r="O99" s="5"/>
      <c r="P99" s="5"/>
      <c r="Q99" s="4"/>
      <c r="R99" s="3"/>
      <c r="T99" s="2"/>
      <c r="U99" s="2"/>
      <c r="V99" s="2"/>
      <c r="W99" s="2"/>
      <c r="X99" s="1"/>
    </row>
    <row r="100" spans="1:24" ht="30" x14ac:dyDescent="0.25">
      <c r="A100" s="13"/>
      <c r="B100" s="12"/>
      <c r="C100" s="4"/>
      <c r="D100" s="11"/>
      <c r="F100" s="20" t="str">
        <f>"Lost Opportunity Cost: " &amp; IF(C98 = "Raised","Make-Whole","Forgone Profit")</f>
        <v>Lost Opportunity Cost: Forgone Profit</v>
      </c>
      <c r="G100" s="19"/>
      <c r="H100" s="19"/>
      <c r="I100" s="19"/>
      <c r="J100" s="18">
        <f>IF(C98 ="Raised",J95-J93,J93-J95)/J97*J98</f>
        <v>226.66666666666669</v>
      </c>
      <c r="K100" s="17"/>
      <c r="L100" s="15" t="s">
        <v>0</v>
      </c>
      <c r="M100" s="15"/>
      <c r="N100" s="15"/>
      <c r="O100" s="15"/>
      <c r="P100" s="15"/>
      <c r="Q100" s="14"/>
      <c r="R100" s="15"/>
      <c r="S100" s="16"/>
      <c r="T100" s="15"/>
      <c r="U100" s="15"/>
      <c r="V100" s="15"/>
      <c r="W100" s="15"/>
      <c r="X100" s="14"/>
    </row>
    <row r="101" spans="1:24" ht="15.75" thickBot="1" x14ac:dyDescent="0.3">
      <c r="A101" s="13"/>
      <c r="B101" s="12"/>
      <c r="C101" s="4"/>
      <c r="D101" s="11"/>
      <c r="F101" s="10"/>
      <c r="G101" s="9"/>
      <c r="H101" s="9"/>
      <c r="I101" s="9"/>
      <c r="J101" s="8"/>
      <c r="K101" s="7"/>
      <c r="L101" s="208"/>
      <c r="M101" s="5"/>
      <c r="N101" s="5"/>
      <c r="O101" s="5"/>
      <c r="P101" s="5"/>
      <c r="Q101" s="4"/>
      <c r="R101" s="3"/>
      <c r="T101" s="2"/>
      <c r="U101" s="2"/>
      <c r="V101" s="2"/>
      <c r="W101" s="2"/>
      <c r="X101" s="1"/>
    </row>
    <row r="102" spans="1:24" x14ac:dyDescent="0.25">
      <c r="A102" s="13"/>
      <c r="B102" s="12"/>
      <c r="C102" s="4"/>
      <c r="D102" s="11"/>
      <c r="L102" s="213"/>
    </row>
    <row r="162" spans="1:20" ht="21" x14ac:dyDescent="0.35">
      <c r="A162" s="112" t="s">
        <v>96</v>
      </c>
      <c r="B162" s="112"/>
      <c r="C162" s="112"/>
      <c r="D162" s="112"/>
      <c r="E162" s="112"/>
      <c r="F162" s="112"/>
      <c r="G162" s="112"/>
      <c r="H162" s="112"/>
      <c r="I162" s="112"/>
      <c r="J162" s="112"/>
      <c r="K162" s="112"/>
      <c r="L162" s="112"/>
      <c r="M162" s="112"/>
      <c r="N162" s="112"/>
      <c r="O162" s="112"/>
      <c r="P162" s="112"/>
      <c r="Q162" s="112"/>
      <c r="R162" s="112"/>
      <c r="S162" s="112"/>
      <c r="T162" s="112"/>
    </row>
    <row r="163" spans="1:20" ht="15.75" thickBot="1" x14ac:dyDescent="0.3">
      <c r="A163" s="111" t="s">
        <v>40</v>
      </c>
      <c r="B163" s="110"/>
      <c r="C163" s="110"/>
      <c r="D163" s="109"/>
      <c r="E163" s="59" t="s">
        <v>88</v>
      </c>
      <c r="F163" s="108"/>
      <c r="G163" s="108"/>
      <c r="H163" s="107"/>
      <c r="I163" s="59" t="s">
        <v>36</v>
      </c>
      <c r="J163" s="108"/>
      <c r="K163" s="108"/>
      <c r="L163" s="107"/>
    </row>
    <row r="164" spans="1:20" ht="30.75" thickBot="1" x14ac:dyDescent="0.3">
      <c r="A164" s="106" t="s">
        <v>35</v>
      </c>
      <c r="B164" s="89" t="s">
        <v>34</v>
      </c>
      <c r="C164" s="89" t="s">
        <v>33</v>
      </c>
      <c r="D164" s="105" t="s">
        <v>39</v>
      </c>
      <c r="E164" s="90" t="s">
        <v>38</v>
      </c>
      <c r="F164" s="89" t="s">
        <v>37</v>
      </c>
      <c r="G164" s="89" t="s">
        <v>32</v>
      </c>
      <c r="H164" s="88" t="s">
        <v>31</v>
      </c>
      <c r="I164" s="90" t="s">
        <v>38</v>
      </c>
      <c r="J164" s="89" t="s">
        <v>37</v>
      </c>
      <c r="K164" s="89" t="s">
        <v>32</v>
      </c>
      <c r="L164" s="88" t="s">
        <v>31</v>
      </c>
    </row>
    <row r="165" spans="1:20" x14ac:dyDescent="0.25">
      <c r="A165" s="104">
        <v>1</v>
      </c>
      <c r="B165" s="102">
        <v>0</v>
      </c>
      <c r="C165" s="102">
        <v>50</v>
      </c>
      <c r="D165" s="84">
        <v>20</v>
      </c>
      <c r="E165" s="103">
        <f>IF(MIN(C186,C202)=C165,C165,0)</f>
        <v>50</v>
      </c>
      <c r="F165" s="102">
        <f>IF(MAX(C186,C202)=C165,C165,0)</f>
        <v>0</v>
      </c>
      <c r="G165" s="85">
        <f>IF(E165&gt;0,D165,0)</f>
        <v>20</v>
      </c>
      <c r="H165" s="84">
        <f>IF(F165&gt;0,IF(F165=B165,D165,IF(AND(F165&gt;B165,F165&lt;=C165),D165+(F165-B165)*((D165-D165)/(C165-B165)),0)),0)</f>
        <v>0</v>
      </c>
      <c r="I165" s="103">
        <f>IF(MIN(C186,C202)=C165,C165,0)</f>
        <v>50</v>
      </c>
      <c r="J165" s="102">
        <f>IF(MAX(C186,C202)=C165,C165,0)</f>
        <v>0</v>
      </c>
      <c r="K165" s="85">
        <f>IF(I165&gt;0,D165,0)</f>
        <v>20</v>
      </c>
      <c r="L165" s="84">
        <f>IF(J165&gt;0,IF(J165=B165,D165,IF(AND(J165&gt;B165,J165&lt;=C165),D165+(J165-B165)*((D165-D165)/(C165-B165)),0)),0)</f>
        <v>0</v>
      </c>
    </row>
    <row r="166" spans="1:20" x14ac:dyDescent="0.25">
      <c r="A166" s="30">
        <v>2</v>
      </c>
      <c r="B166" s="29">
        <v>50</v>
      </c>
      <c r="C166" s="29">
        <v>75</v>
      </c>
      <c r="D166" s="81">
        <v>25</v>
      </c>
      <c r="E166" s="101">
        <f>IF(AND(MIN(C186,C202)&gt;B166,MIN(C186,C202)&lt;=C166),MIN(C186,C202),0)</f>
        <v>0</v>
      </c>
      <c r="F166" s="29">
        <f>IF(AND(MAX(C186,C202)&gt;B166,MAX(C186,C202)&lt;=C166),MAX(C186,C202),0)</f>
        <v>70</v>
      </c>
      <c r="G166" s="1">
        <f>IF(E166&gt;0,IF(E166=B166,D166,IF(AND(E166&gt;B166,E166&lt;=C166),D165+(E166-B166)*((D166-D165)/(C166-B166)),0)),0)</f>
        <v>0</v>
      </c>
      <c r="H166" s="81">
        <f>IF(F166&gt;0,IF(F166=B166,D166,IF(AND(F166&gt;B166,F166&lt;=C166),D165+(F166-B166)*((D166-D165)/(C166-B166)),0)),0)</f>
        <v>24</v>
      </c>
      <c r="I166" s="101">
        <f>IF(AND(MIN(C186,C202)&gt;B166,MIN(C186,C202)&lt;=C166),MIN(C186,C202),0)</f>
        <v>0</v>
      </c>
      <c r="J166" s="29">
        <f>IF(AND(MAX(C186,C202)&gt;B166,MAX(C186,C202)&lt;=C166),MAX(C186,C202),0)</f>
        <v>70</v>
      </c>
      <c r="K166" s="1">
        <f>IF(I166&gt;0,IF(I166=B166,D166,IF(AND(I166&gt;B166,I166&lt;=C166),D165+(I166-B166)*((D166-D165)/(C166-B166)),0)),0)</f>
        <v>0</v>
      </c>
      <c r="L166" s="81">
        <f>IF(J166&gt;0,IF(J166=B166,D166,IF(AND(J166&gt;B166,J166&lt;=C166),D165+(J166-B166)*((D166-D165)/(C166-B166)),0)),0)</f>
        <v>24</v>
      </c>
    </row>
    <row r="167" spans="1:20" ht="15.75" thickBot="1" x14ac:dyDescent="0.3">
      <c r="A167" s="100">
        <v>3</v>
      </c>
      <c r="B167" s="98">
        <v>75</v>
      </c>
      <c r="C167" s="98">
        <v>100</v>
      </c>
      <c r="D167" s="97">
        <v>30</v>
      </c>
      <c r="E167" s="99">
        <f>IF(AND(MIN(C186,C202)&gt;B167,MIN(C186,C202)&lt;=C167),MIN(C186,C202),0)</f>
        <v>0</v>
      </c>
      <c r="F167" s="98">
        <f>IF(OR(AND(MAX(C186,C202)&gt;B167,MAX(C186,C202)&lt;=C167),MAX(C186,C202)&gt;C167),MAX(C186,C202),0)</f>
        <v>0</v>
      </c>
      <c r="G167" s="23">
        <f>IF(E167&gt;0,IF(E167=B167,D167,IF(AND(E167&gt;B167,E167&lt;=C167),D166+(E167-B167)*((D167-D166)/(C167-B167)),IF(E167&gt;C167,D167,0))),0)</f>
        <v>0</v>
      </c>
      <c r="H167" s="97">
        <f>IF(F167&gt;0,IF(F167=B167,D167,IF(AND(F167&gt;B167,F167&lt;=C167),D166+(F167-B167)*((D167-D166)/(C167-B167)),IF(F167&gt;C167,D167,0))),0)</f>
        <v>0</v>
      </c>
      <c r="I167" s="99">
        <f>IF(AND(MIN(C186,C202)&gt;B167,MIN(C186,C202)&lt;=C167),MIN(C186,C202),0)</f>
        <v>0</v>
      </c>
      <c r="J167" s="98">
        <f>IF(AND(MAX(C186,C202)&gt;B167,MAX(C186,C202)&lt;=C167),MAX(C186,C202),0)</f>
        <v>0</v>
      </c>
      <c r="K167" s="23">
        <f>IF(I167&gt;0,IF(I167=B167,D167,IF(AND(I167&gt;B167,I167&lt;=C167),D166+(I167-B167)*((D167-D166)/(C167-B167)),IF(I167&gt;C167,D167,0))),0)</f>
        <v>0</v>
      </c>
      <c r="L167" s="97">
        <f>IF(J167&gt;0,IF(J167=B167,D167,IF(AND(J167&gt;B167,J167&lt;=C167),D166+(J167-B167)*((D167-D166)/(C167-B167)),IF(J167&gt;C167,D167,0))),0)</f>
        <v>0</v>
      </c>
    </row>
    <row r="168" spans="1:20" ht="15.75" thickBot="1" x14ac:dyDescent="0.3">
      <c r="J168" s="96"/>
    </row>
    <row r="169" spans="1:20" ht="15.75" thickBot="1" x14ac:dyDescent="0.3">
      <c r="B169" s="53" t="s">
        <v>88</v>
      </c>
      <c r="C169" s="95"/>
      <c r="D169" s="95"/>
      <c r="E169" s="95"/>
      <c r="F169" s="95"/>
      <c r="G169" s="94"/>
      <c r="I169" s="53" t="s">
        <v>36</v>
      </c>
      <c r="J169" s="95"/>
      <c r="K169" s="95"/>
      <c r="L169" s="95"/>
      <c r="M169" s="95"/>
      <c r="N169" s="94"/>
    </row>
    <row r="170" spans="1:20" ht="30.75" thickBot="1" x14ac:dyDescent="0.3">
      <c r="B170" s="93" t="s">
        <v>35</v>
      </c>
      <c r="C170" s="92" t="s">
        <v>34</v>
      </c>
      <c r="D170" s="92" t="s">
        <v>33</v>
      </c>
      <c r="E170" s="92" t="s">
        <v>32</v>
      </c>
      <c r="F170" s="92" t="s">
        <v>31</v>
      </c>
      <c r="G170" s="91" t="s">
        <v>30</v>
      </c>
      <c r="I170" s="90" t="s">
        <v>35</v>
      </c>
      <c r="J170" s="89" t="s">
        <v>34</v>
      </c>
      <c r="K170" s="89" t="s">
        <v>33</v>
      </c>
      <c r="L170" s="89" t="s">
        <v>32</v>
      </c>
      <c r="M170" s="89" t="s">
        <v>31</v>
      </c>
      <c r="N170" s="88" t="s">
        <v>30</v>
      </c>
    </row>
    <row r="171" spans="1:20" x14ac:dyDescent="0.25">
      <c r="B171" s="87">
        <v>1</v>
      </c>
      <c r="C171" s="86">
        <v>0</v>
      </c>
      <c r="D171" s="86">
        <f>IF(J165&gt;0,MIN(I165,C165),0)</f>
        <v>0</v>
      </c>
      <c r="E171" s="85">
        <f>IF(C171&lt;&gt;0,MIN(D165,G165),0)</f>
        <v>0</v>
      </c>
      <c r="F171" s="85">
        <f>IF(AND(D171&gt;B165,D171&lt;C165),H165,IF(D171&gt;=C165,D165,0))</f>
        <v>0</v>
      </c>
      <c r="G171" s="84">
        <f>(D171-C171)*(E171+F171)/2</f>
        <v>0</v>
      </c>
      <c r="I171" s="83">
        <v>1</v>
      </c>
      <c r="J171" s="82">
        <v>0</v>
      </c>
      <c r="K171" s="82">
        <f>IF(J165&gt;0,MIN(I165,C165),0)</f>
        <v>0</v>
      </c>
      <c r="L171" s="1">
        <f>IF(J171&lt;&gt;0,MIN(D165,K165),0)</f>
        <v>0</v>
      </c>
      <c r="M171" s="1">
        <f>IF(AND(K171&gt;B165,K171&lt;C165),L165,IF(K171&gt;=C165,D165,0))</f>
        <v>0</v>
      </c>
      <c r="N171" s="81">
        <f>(K171-J171)*(L171+M171)/2</f>
        <v>0</v>
      </c>
    </row>
    <row r="172" spans="1:20" x14ac:dyDescent="0.25">
      <c r="B172" s="83">
        <v>2</v>
      </c>
      <c r="C172" s="82">
        <f>IF(OR(D171&gt;0,F166&gt;0),B166,MIN(C166,E166))</f>
        <v>50</v>
      </c>
      <c r="D172" s="82">
        <f>IF(AND(C172&gt;0,MAX(F165:F167)&lt;C166),MAX(F165:F167),IF(AND(MAX(F165:F167)&gt;=C166,C172&gt;0),C166,0))</f>
        <v>70</v>
      </c>
      <c r="E172" s="1">
        <f>IF(C172=MAX(E165:E167),MAX(G165:G167),0)</f>
        <v>20</v>
      </c>
      <c r="F172" s="1">
        <f>IF(AND(D172&gt;B166,D172&lt;C166),H166,IF(D172&gt;=C166,D166,0))</f>
        <v>24</v>
      </c>
      <c r="G172" s="81">
        <f>(D172-C172)*(E172+F172)/2</f>
        <v>440</v>
      </c>
      <c r="I172" s="83">
        <v>2</v>
      </c>
      <c r="J172" s="82">
        <f>IF(OR(K171&gt;0,J166&gt;0),B166,MIN(C166,I166))</f>
        <v>50</v>
      </c>
      <c r="K172" s="82">
        <f>IF(AND(J172&gt;0,MAX(J165:J167)&lt;C166),MAX(J165:J167),IF(AND(MAX(J165:J167)&gt;=C166,J172&gt;0),C166,0))</f>
        <v>70</v>
      </c>
      <c r="L172" s="1">
        <f>IF(J172=MAX(I165:I167),MAX(K165:K167),0)</f>
        <v>20</v>
      </c>
      <c r="M172" s="1">
        <f>IF(AND(K172&gt;B166,K172&lt;C166),L166,IF(K172&gt;=C166,D166,0))</f>
        <v>24</v>
      </c>
      <c r="N172" s="81">
        <f>(K172-J172)*(L172+M172)/2</f>
        <v>440</v>
      </c>
    </row>
    <row r="173" spans="1:20" x14ac:dyDescent="0.25">
      <c r="B173" s="83">
        <v>3</v>
      </c>
      <c r="C173" s="82">
        <f>IF(AND(D172&gt;0,MAX(F165:F167)&gt;C166),B167,IF(AND(MAX(E165:E167)&gt;B167,MAX(E165:E167)&lt;C167),MAX(E165:E167),MIN(C167,E166)))</f>
        <v>0</v>
      </c>
      <c r="D173" s="82">
        <f>IF(AND(MAX(F165:F167)&gt;B167,MAX(F165:F167)&lt;C167),MAX(F165:F167),IF(MAX(F165:F167)&gt;=C167,C167,0))</f>
        <v>0</v>
      </c>
      <c r="E173" s="1">
        <f>IF(AND(C173&lt;&gt;0,D172&lt;&gt;0),F172,IF(MAX(E165:E167)=C173,MAX(G165:G167),0))</f>
        <v>0</v>
      </c>
      <c r="F173" s="1">
        <f>IF(AND(D173&gt;B167,D173&lt;C167),H167,IF(D173&gt;=C167,D167,0))</f>
        <v>0</v>
      </c>
      <c r="G173" s="81">
        <f>(D173-C173)*(E173+F173)/2</f>
        <v>0</v>
      </c>
      <c r="I173" s="83">
        <v>3</v>
      </c>
      <c r="J173" s="82">
        <f>IF(AND(K172&gt;0,MAX(J165:J167)&gt;C166),B167,IF(AND(MAX(I165:I167)&gt;B167,MAX(I165:I167)&lt;C167),MAX(I165:I167),MIN(C167,I166)))</f>
        <v>0</v>
      </c>
      <c r="K173" s="82">
        <f>IF(AND(MAX(J165:J167)&gt;B167,MAX(J165:J167)&lt;C167),MAX(J165:J167),IF(MAX(J165:J167)&gt;=C167,C167,0))</f>
        <v>0</v>
      </c>
      <c r="L173" s="1">
        <f>IF(AND(J173&lt;&gt;0,K172&lt;&gt;0),M172,IF(MAX(I165:I167)=J173,MAX(K165:K167),0))</f>
        <v>0</v>
      </c>
      <c r="M173" s="1">
        <f>IF(AND(K173&gt;B167,K173&lt;C167),L167,IF(K173&gt;=C167,D167,0))</f>
        <v>0</v>
      </c>
      <c r="N173" s="81">
        <f>(K173-J173)*(L173+M173)/2</f>
        <v>0</v>
      </c>
    </row>
    <row r="174" spans="1:20" x14ac:dyDescent="0.25">
      <c r="B174" s="83">
        <v>4</v>
      </c>
      <c r="C174" s="82">
        <f>IF(C186&gt;C167,D173,0)</f>
        <v>0</v>
      </c>
      <c r="D174" s="82">
        <f>IF(F167&gt;C167,F167,IF(AND(F167&gt;C167,F167&lt;C167),F167,0))</f>
        <v>0</v>
      </c>
      <c r="E174" s="1">
        <f>IF(C174&lt;&gt;0,MIN(D168,H167),0)</f>
        <v>0</v>
      </c>
      <c r="F174" s="1">
        <f>IF(D174&gt;0,IF(D174&gt;=C167,H167,IF(AND(D174&gt;B167,D174&lt;C167),H167,0)),0)</f>
        <v>0</v>
      </c>
      <c r="G174" s="81">
        <f>(D174-C174)*(E174+F174)/2</f>
        <v>0</v>
      </c>
      <c r="I174" s="83">
        <v>4</v>
      </c>
      <c r="J174" s="82">
        <f>IF(C186&gt;C167,K173,0)</f>
        <v>0</v>
      </c>
      <c r="K174" s="82">
        <f>IF(J167&gt;C167,J167,IF(AND(J167&gt;C167,J167&lt;C167),J167,0))</f>
        <v>0</v>
      </c>
      <c r="L174" s="1">
        <f>IF(J174&lt;&gt;0,MIN(D168,L167),0)</f>
        <v>0</v>
      </c>
      <c r="M174" s="1">
        <f>IF(K174&gt;0,IF(K174&gt;=C167,L167,IF(AND(K174&gt;B167,K174&lt;C167),L167,0)),0)</f>
        <v>0</v>
      </c>
      <c r="N174" s="81">
        <f>(K174-J174)*(L174+M174)/2</f>
        <v>0</v>
      </c>
    </row>
    <row r="175" spans="1:20" ht="15.75" thickBot="1" x14ac:dyDescent="0.3">
      <c r="B175" s="80"/>
      <c r="C175" s="79"/>
      <c r="D175" s="79"/>
      <c r="E175" s="79"/>
      <c r="F175" s="79"/>
      <c r="G175" s="78">
        <f>SUM(G171:G174)</f>
        <v>440</v>
      </c>
      <c r="I175" s="80"/>
      <c r="J175" s="79"/>
      <c r="K175" s="79"/>
      <c r="L175" s="79"/>
      <c r="M175" s="79"/>
      <c r="N175" s="78">
        <f>SUM(N171:N174)</f>
        <v>440</v>
      </c>
    </row>
    <row r="176" spans="1:20" x14ac:dyDescent="0.25">
      <c r="B176" s="211"/>
      <c r="C176" s="211"/>
      <c r="D176" s="211"/>
      <c r="E176" s="211"/>
      <c r="F176" s="211"/>
      <c r="G176" s="1"/>
      <c r="I176" s="211"/>
      <c r="J176" s="211"/>
      <c r="K176" s="211"/>
      <c r="L176" s="211"/>
      <c r="M176" s="211"/>
      <c r="N176" s="1"/>
    </row>
    <row r="177" spans="1:24" x14ac:dyDescent="0.25">
      <c r="A177" s="212"/>
      <c r="B177" s="211"/>
      <c r="C177" s="211"/>
      <c r="D177" s="211"/>
      <c r="E177" s="211"/>
      <c r="F177" s="211"/>
      <c r="G177" s="1"/>
      <c r="I177" s="211"/>
      <c r="J177" s="211"/>
      <c r="K177" s="211"/>
      <c r="L177" s="211"/>
      <c r="M177" s="211"/>
      <c r="N177" s="1"/>
    </row>
    <row r="178" spans="1:24" x14ac:dyDescent="0.25">
      <c r="A178" s="212"/>
      <c r="B178" s="211"/>
      <c r="C178" s="211"/>
      <c r="D178" s="211"/>
      <c r="E178" s="211"/>
      <c r="F178" s="211"/>
      <c r="G178" s="1"/>
      <c r="I178" s="211"/>
      <c r="J178" s="211"/>
      <c r="K178" s="211"/>
      <c r="L178" s="211"/>
      <c r="M178" s="211"/>
      <c r="N178" s="1"/>
    </row>
    <row r="179" spans="1:24" x14ac:dyDescent="0.25">
      <c r="A179" s="212"/>
      <c r="B179" s="211"/>
      <c r="C179" s="211"/>
      <c r="D179" s="211"/>
      <c r="E179" s="211"/>
      <c r="F179" s="211"/>
      <c r="G179" s="1"/>
      <c r="I179" s="211"/>
      <c r="J179" s="211"/>
      <c r="K179" s="211"/>
      <c r="L179" s="211"/>
      <c r="M179" s="211"/>
      <c r="N179" s="1"/>
    </row>
    <row r="180" spans="1:24" ht="15.75" thickBot="1" x14ac:dyDescent="0.3"/>
    <row r="181" spans="1:24" ht="15.75" thickBot="1" x14ac:dyDescent="0.3">
      <c r="A181" s="77" t="s">
        <v>29</v>
      </c>
      <c r="B181" s="55"/>
      <c r="C181" s="55"/>
      <c r="D181" s="55"/>
      <c r="E181" s="12"/>
      <c r="F181" s="74" t="s">
        <v>89</v>
      </c>
      <c r="G181" s="76"/>
      <c r="H181" s="76"/>
      <c r="I181" s="75"/>
      <c r="J181" s="74"/>
      <c r="K181" s="73"/>
      <c r="L181" s="72"/>
      <c r="M181" s="5"/>
      <c r="N181" s="5"/>
      <c r="O181" s="5"/>
      <c r="P181" s="5"/>
      <c r="Q181" s="5"/>
      <c r="R181" s="71"/>
      <c r="T181" s="2"/>
      <c r="U181" s="2"/>
      <c r="V181" s="2"/>
      <c r="W181" s="2"/>
      <c r="X181" s="2"/>
    </row>
    <row r="182" spans="1:24" ht="15.75" thickBot="1" x14ac:dyDescent="0.3">
      <c r="A182" s="70" t="s">
        <v>28</v>
      </c>
      <c r="B182" s="69"/>
      <c r="C182" s="68"/>
      <c r="D182" s="68"/>
      <c r="E182" s="67"/>
      <c r="F182" s="37" t="str">
        <f>""&amp;C203&amp;" Regulation"</f>
        <v>Raised Regulation</v>
      </c>
      <c r="G182" s="9"/>
      <c r="H182" s="9"/>
      <c r="I182" s="10"/>
      <c r="J182" s="9"/>
      <c r="K182" s="43"/>
      <c r="L182" s="5"/>
      <c r="M182" s="5"/>
      <c r="N182" s="5"/>
      <c r="O182" s="5"/>
      <c r="P182" s="5"/>
      <c r="Q182" s="5"/>
      <c r="R182" s="5"/>
      <c r="T182" s="2"/>
      <c r="U182" s="2"/>
      <c r="V182" s="2"/>
      <c r="W182" s="2"/>
      <c r="X182" s="2"/>
    </row>
    <row r="183" spans="1:24" ht="22.5" customHeight="1" thickBot="1" x14ac:dyDescent="0.3">
      <c r="A183" s="47" t="s">
        <v>27</v>
      </c>
      <c r="B183" s="28"/>
      <c r="C183" s="60">
        <v>70</v>
      </c>
      <c r="D183" s="27"/>
      <c r="F183" s="41" t="s">
        <v>12</v>
      </c>
      <c r="G183" s="40"/>
      <c r="H183" s="40"/>
      <c r="I183" s="41"/>
      <c r="J183" s="40" t="s">
        <v>11</v>
      </c>
      <c r="K183" s="39"/>
      <c r="L183" s="6"/>
      <c r="M183" s="3"/>
      <c r="N183" s="3"/>
      <c r="O183" s="3"/>
      <c r="P183" s="3"/>
      <c r="Q183" s="4"/>
      <c r="R183" s="3"/>
      <c r="T183" s="15"/>
      <c r="U183" s="15"/>
      <c r="V183" s="15"/>
      <c r="W183" s="15"/>
      <c r="X183" s="1"/>
    </row>
    <row r="184" spans="1:24" ht="30" x14ac:dyDescent="0.25">
      <c r="A184" s="30" t="s">
        <v>26</v>
      </c>
      <c r="B184" s="66"/>
      <c r="C184" s="1">
        <v>15</v>
      </c>
      <c r="D184" s="61"/>
      <c r="F184" s="37" t="s">
        <v>9</v>
      </c>
      <c r="G184" s="19"/>
      <c r="H184" s="19"/>
      <c r="I184" s="19"/>
      <c r="J184" s="18">
        <f>IF(C193&lt;&gt;0,(ABS(MAX(D171:D174)-MAX(C171:C174)))*C184,0)</f>
        <v>300</v>
      </c>
      <c r="K184" s="17"/>
      <c r="L184" s="232" t="s">
        <v>109</v>
      </c>
      <c r="M184" s="15"/>
      <c r="N184" s="33"/>
      <c r="O184" s="33"/>
      <c r="P184" s="33"/>
      <c r="Q184" s="14"/>
      <c r="R184" s="15"/>
      <c r="S184" s="16"/>
      <c r="T184" s="34"/>
      <c r="U184" s="33"/>
      <c r="V184" s="33"/>
      <c r="W184" s="2"/>
      <c r="X184" s="1"/>
    </row>
    <row r="185" spans="1:24" x14ac:dyDescent="0.25">
      <c r="A185" s="63" t="s">
        <v>25</v>
      </c>
      <c r="B185" s="28"/>
      <c r="C185" s="60">
        <f>C202</f>
        <v>70</v>
      </c>
      <c r="D185" s="27"/>
      <c r="F185" s="36"/>
      <c r="G185" s="35"/>
      <c r="H185" s="35"/>
      <c r="I185" s="35"/>
      <c r="J185" s="65"/>
      <c r="K185" s="64"/>
      <c r="L185" s="6"/>
      <c r="M185" s="3"/>
      <c r="N185" s="3"/>
      <c r="O185" s="3"/>
      <c r="P185" s="3"/>
      <c r="Q185" s="4"/>
      <c r="R185" s="3"/>
      <c r="T185" s="15"/>
      <c r="U185" s="15"/>
      <c r="V185" s="15"/>
      <c r="W185" s="15"/>
      <c r="X185" s="1"/>
    </row>
    <row r="186" spans="1:24" ht="30" x14ac:dyDescent="0.25">
      <c r="A186" s="63" t="s">
        <v>24</v>
      </c>
      <c r="B186" s="28"/>
      <c r="C186" s="60">
        <v>50</v>
      </c>
      <c r="D186" s="27"/>
      <c r="E186" s="54"/>
      <c r="F186" s="20" t="s">
        <v>6</v>
      </c>
      <c r="G186" s="19"/>
      <c r="H186" s="19"/>
      <c r="I186" s="19"/>
      <c r="J186" s="18">
        <f>G175</f>
        <v>440</v>
      </c>
      <c r="K186" s="17"/>
      <c r="L186" s="232" t="s">
        <v>110</v>
      </c>
      <c r="M186" s="34"/>
      <c r="N186" s="33"/>
      <c r="O186" s="33"/>
      <c r="P186" s="33"/>
      <c r="Q186" s="14"/>
      <c r="R186" s="15"/>
      <c r="S186" s="16"/>
      <c r="T186" s="34"/>
      <c r="U186" s="33"/>
      <c r="V186" s="33"/>
      <c r="W186" s="33"/>
      <c r="X186" s="14"/>
    </row>
    <row r="187" spans="1:24" x14ac:dyDescent="0.25">
      <c r="A187" s="30" t="s">
        <v>23</v>
      </c>
      <c r="B187" s="29"/>
      <c r="C187" s="1">
        <v>0</v>
      </c>
      <c r="D187" s="61"/>
      <c r="F187" s="20"/>
      <c r="G187" s="19"/>
      <c r="H187" s="19"/>
      <c r="I187" s="19"/>
      <c r="J187" s="18"/>
      <c r="K187" s="17"/>
      <c r="L187" s="3"/>
      <c r="M187" s="3"/>
      <c r="N187" s="3"/>
      <c r="O187" s="3"/>
      <c r="P187" s="3"/>
      <c r="Q187" s="4"/>
      <c r="R187" s="3"/>
      <c r="T187" s="15"/>
      <c r="U187" s="15"/>
      <c r="V187" s="15"/>
      <c r="W187" s="15"/>
      <c r="X187" s="1"/>
    </row>
    <row r="188" spans="1:24" x14ac:dyDescent="0.25">
      <c r="A188" s="62" t="s">
        <v>22</v>
      </c>
      <c r="B188" s="29"/>
      <c r="C188" s="1">
        <v>0</v>
      </c>
      <c r="D188" s="61"/>
      <c r="F188" s="20"/>
      <c r="G188" s="19"/>
      <c r="H188" s="19"/>
      <c r="I188" s="19"/>
      <c r="J188" s="18"/>
      <c r="K188" s="17"/>
      <c r="L188" s="6"/>
      <c r="M188" s="5"/>
      <c r="N188" s="5"/>
      <c r="O188" s="5"/>
      <c r="P188" s="5"/>
      <c r="Q188" s="4"/>
      <c r="R188" s="3"/>
      <c r="T188" s="2"/>
      <c r="U188" s="2"/>
      <c r="V188" s="2"/>
      <c r="W188" s="2"/>
      <c r="X188" s="26"/>
    </row>
    <row r="189" spans="1:24" x14ac:dyDescent="0.25">
      <c r="A189" s="47" t="s">
        <v>21</v>
      </c>
      <c r="B189" s="28"/>
      <c r="C189" s="60">
        <v>50</v>
      </c>
      <c r="D189" s="27"/>
      <c r="F189" s="20" t="s">
        <v>5</v>
      </c>
      <c r="G189" s="19"/>
      <c r="H189" s="19"/>
      <c r="I189" s="19"/>
      <c r="J189" s="21">
        <f>C201</f>
        <v>0.9</v>
      </c>
      <c r="K189" s="17"/>
      <c r="L189" s="3" t="s">
        <v>4</v>
      </c>
      <c r="M189" s="3"/>
      <c r="N189" s="3"/>
      <c r="O189" s="3"/>
      <c r="P189" s="3"/>
      <c r="Q189" s="4"/>
      <c r="R189" s="3"/>
      <c r="S189" s="12"/>
      <c r="T189" s="3"/>
      <c r="U189" s="3"/>
      <c r="V189" s="3"/>
      <c r="W189" s="3"/>
      <c r="X189" s="4"/>
    </row>
    <row r="190" spans="1:24" ht="15.75" thickBot="1" x14ac:dyDescent="0.3">
      <c r="A190" s="59" t="s">
        <v>20</v>
      </c>
      <c r="B190" s="58"/>
      <c r="C190" s="57">
        <v>100</v>
      </c>
      <c r="D190" s="56"/>
      <c r="E190" s="55" t="str">
        <f>""</f>
        <v/>
      </c>
      <c r="F190" s="20"/>
      <c r="G190" s="19"/>
      <c r="H190" s="19"/>
      <c r="I190" s="19"/>
      <c r="J190" s="18"/>
      <c r="K190" s="17"/>
      <c r="L190" s="6"/>
      <c r="M190" s="5"/>
      <c r="N190" s="5"/>
      <c r="O190" s="5"/>
      <c r="P190" s="5"/>
      <c r="Q190" s="4"/>
      <c r="R190" s="3"/>
      <c r="T190" s="2"/>
      <c r="U190" s="2"/>
      <c r="V190" s="2"/>
      <c r="W190" s="2"/>
      <c r="X190" s="1"/>
    </row>
    <row r="191" spans="1:24" ht="30.75" thickBot="1" x14ac:dyDescent="0.3">
      <c r="E191" s="54"/>
      <c r="F191" s="20" t="str">
        <f>"Lost Opportunity Cost: " &amp; IF(C203 = "Raised","Make-Whole","Forgone Profit")</f>
        <v>Lost Opportunity Cost: Make-Whole</v>
      </c>
      <c r="G191" s="19"/>
      <c r="H191" s="19"/>
      <c r="I191" s="19"/>
      <c r="J191" s="18">
        <f>IF(C203 ="Raised",J186-J184,J184-J186)/J189*J189</f>
        <v>140</v>
      </c>
      <c r="K191" s="17"/>
      <c r="L191" s="15" t="s">
        <v>0</v>
      </c>
      <c r="M191" s="15"/>
      <c r="N191" s="15"/>
      <c r="O191" s="15"/>
      <c r="P191" s="15"/>
      <c r="Q191" s="14"/>
      <c r="R191" s="15"/>
      <c r="S191" s="16"/>
      <c r="T191" s="15"/>
      <c r="U191" s="15"/>
      <c r="V191" s="15"/>
      <c r="W191" s="15"/>
      <c r="X191" s="14"/>
    </row>
    <row r="192" spans="1:24" ht="15.75" thickBot="1" x14ac:dyDescent="0.3">
      <c r="A192" s="53" t="s">
        <v>19</v>
      </c>
      <c r="B192" s="52"/>
      <c r="C192" s="52"/>
      <c r="D192" s="51"/>
      <c r="F192" s="10"/>
      <c r="G192" s="9"/>
      <c r="H192" s="9"/>
      <c r="I192" s="9"/>
      <c r="J192" s="8"/>
      <c r="K192" s="7"/>
      <c r="L192" s="6"/>
      <c r="M192" s="5"/>
      <c r="N192" s="5"/>
      <c r="O192" s="5"/>
      <c r="P192" s="5"/>
      <c r="Q192" s="4"/>
      <c r="R192" s="3"/>
      <c r="T192" s="2"/>
      <c r="U192" s="2"/>
      <c r="V192" s="2"/>
      <c r="W192" s="2"/>
      <c r="X192" s="1"/>
    </row>
    <row r="193" spans="1:24" x14ac:dyDescent="0.25">
      <c r="A193" s="30" t="s">
        <v>18</v>
      </c>
      <c r="B193" s="29"/>
      <c r="C193" s="28">
        <v>20</v>
      </c>
      <c r="D193" s="27"/>
      <c r="F193" s="50"/>
      <c r="G193" s="49"/>
      <c r="H193" s="49"/>
      <c r="I193" s="49"/>
      <c r="J193" s="48"/>
      <c r="K193" s="6"/>
      <c r="L193" s="6"/>
      <c r="M193" s="6"/>
      <c r="N193" s="6"/>
      <c r="O193" s="6"/>
      <c r="P193" s="6"/>
      <c r="Q193" s="48"/>
      <c r="R193" s="6"/>
      <c r="S193" s="6"/>
      <c r="T193" s="6"/>
      <c r="U193" s="6"/>
    </row>
    <row r="194" spans="1:24" ht="15.75" thickBot="1" x14ac:dyDescent="0.3">
      <c r="A194" s="47" t="s">
        <v>17</v>
      </c>
      <c r="B194" s="46"/>
      <c r="C194" s="1">
        <v>7</v>
      </c>
      <c r="D194" s="27"/>
      <c r="G194" s="29"/>
      <c r="H194" s="45"/>
      <c r="I194" s="45"/>
    </row>
    <row r="195" spans="1:24" ht="15.75" thickBot="1" x14ac:dyDescent="0.3">
      <c r="A195" s="30" t="s">
        <v>16</v>
      </c>
      <c r="B195" s="29"/>
      <c r="C195" s="28">
        <v>0</v>
      </c>
      <c r="D195" s="27"/>
      <c r="F195" s="41" t="s">
        <v>15</v>
      </c>
      <c r="G195" s="40"/>
      <c r="H195" s="40"/>
      <c r="I195" s="40"/>
      <c r="J195" s="41"/>
      <c r="K195" s="44"/>
    </row>
    <row r="196" spans="1:24" ht="15.75" thickBot="1" x14ac:dyDescent="0.3">
      <c r="A196" s="30" t="s">
        <v>14</v>
      </c>
      <c r="B196" s="42"/>
      <c r="C196" s="28">
        <v>100</v>
      </c>
      <c r="D196" s="27"/>
      <c r="F196" s="37" t="str">
        <f>""&amp;C203&amp;" Regulation"</f>
        <v>Raised Regulation</v>
      </c>
      <c r="G196" s="9"/>
      <c r="H196" s="9"/>
      <c r="I196" s="10"/>
      <c r="J196" s="9"/>
      <c r="K196" s="43"/>
    </row>
    <row r="197" spans="1:24" ht="15.75" thickBot="1" x14ac:dyDescent="0.3">
      <c r="A197" s="30" t="s">
        <v>13</v>
      </c>
      <c r="B197" s="42"/>
      <c r="C197" s="28">
        <v>50</v>
      </c>
      <c r="D197" s="27"/>
      <c r="F197" s="41" t="s">
        <v>12</v>
      </c>
      <c r="G197" s="40"/>
      <c r="H197" s="40"/>
      <c r="I197" s="41"/>
      <c r="J197" s="40" t="s">
        <v>11</v>
      </c>
      <c r="K197" s="39"/>
    </row>
    <row r="198" spans="1:24" ht="30" x14ac:dyDescent="0.25">
      <c r="A198" s="32" t="s">
        <v>10</v>
      </c>
      <c r="B198" s="38"/>
      <c r="C198" s="28">
        <v>0.85</v>
      </c>
      <c r="D198" s="27"/>
      <c r="F198" s="37" t="s">
        <v>9</v>
      </c>
      <c r="G198" s="19"/>
      <c r="H198" s="19"/>
      <c r="I198" s="19"/>
      <c r="J198" s="18">
        <f>IF(C193&lt;&gt;0,(ABS(MAX(K171:K174)-MAX(J171:J174)))*C184,0)</f>
        <v>300</v>
      </c>
      <c r="K198" s="17"/>
      <c r="L198" s="232" t="s">
        <v>109</v>
      </c>
      <c r="M198" s="15"/>
      <c r="N198" s="33"/>
      <c r="O198" s="33"/>
      <c r="P198" s="33"/>
      <c r="Q198" s="14"/>
      <c r="R198" s="15"/>
      <c r="S198" s="16"/>
      <c r="T198" s="34"/>
      <c r="U198" s="33"/>
      <c r="V198" s="33"/>
      <c r="W198" s="2"/>
      <c r="X198" s="1"/>
    </row>
    <row r="199" spans="1:24" x14ac:dyDescent="0.25">
      <c r="A199" s="30" t="s">
        <v>8</v>
      </c>
      <c r="B199" s="29"/>
      <c r="C199" s="28">
        <f>IF(C197+C193&gt;C186,MIN((1+C195)*C193+C197,C183),IF(AND(C197+C193&lt;=C186,C196-C193&gt;=C186),IF(C195&gt;0,MIN(C195*C193+C186,C183),MAX(C195*C193+C186,C183)),MAX(C196-(1-C195)*C193,C183)))</f>
        <v>70</v>
      </c>
      <c r="D199" s="27"/>
      <c r="F199" s="36"/>
      <c r="G199" s="35"/>
      <c r="H199" s="35"/>
      <c r="I199" s="35"/>
      <c r="J199" s="18"/>
      <c r="K199" s="17"/>
      <c r="L199" s="6"/>
      <c r="M199" s="3"/>
      <c r="N199" s="3"/>
      <c r="O199" s="3"/>
      <c r="P199" s="3"/>
      <c r="Q199" s="4"/>
      <c r="R199" s="3"/>
      <c r="T199" s="15"/>
      <c r="U199" s="15"/>
      <c r="V199" s="15"/>
      <c r="W199" s="15"/>
      <c r="X199" s="1"/>
    </row>
    <row r="200" spans="1:24" ht="30" x14ac:dyDescent="0.25">
      <c r="A200" s="30" t="s">
        <v>7</v>
      </c>
      <c r="B200" s="29"/>
      <c r="C200" s="1">
        <v>0</v>
      </c>
      <c r="D200" s="27"/>
      <c r="F200" s="20" t="s">
        <v>6</v>
      </c>
      <c r="G200" s="19"/>
      <c r="H200" s="19"/>
      <c r="I200" s="19"/>
      <c r="J200" s="18">
        <f>N175</f>
        <v>440</v>
      </c>
      <c r="K200" s="17"/>
      <c r="L200" s="232" t="s">
        <v>110</v>
      </c>
      <c r="M200" s="34"/>
      <c r="N200" s="33"/>
      <c r="O200" s="33"/>
      <c r="P200" s="33"/>
      <c r="Q200" s="14"/>
      <c r="R200" s="15"/>
      <c r="S200" s="16"/>
      <c r="T200" s="34"/>
      <c r="U200" s="33"/>
      <c r="V200" s="33"/>
      <c r="W200" s="33"/>
      <c r="X200" s="14"/>
    </row>
    <row r="201" spans="1:24" x14ac:dyDescent="0.25">
      <c r="A201" s="32" t="s">
        <v>5</v>
      </c>
      <c r="B201" s="31"/>
      <c r="C201" s="28">
        <v>0.9</v>
      </c>
      <c r="D201" s="27"/>
      <c r="F201" s="20"/>
      <c r="G201" s="19"/>
      <c r="H201" s="19"/>
      <c r="I201" s="19"/>
      <c r="J201" s="18"/>
      <c r="K201" s="17"/>
      <c r="L201" s="3"/>
      <c r="M201" s="3"/>
      <c r="N201" s="3"/>
      <c r="O201" s="3"/>
      <c r="P201" s="3"/>
      <c r="Q201" s="4"/>
      <c r="R201" s="3"/>
      <c r="T201" s="15"/>
      <c r="U201" s="15"/>
      <c r="V201" s="15"/>
      <c r="W201" s="15"/>
      <c r="X201" s="1"/>
    </row>
    <row r="202" spans="1:24" x14ac:dyDescent="0.25">
      <c r="A202" s="30" t="s">
        <v>90</v>
      </c>
      <c r="B202" s="29"/>
      <c r="C202" s="28">
        <f>IF(C197+C193&gt;C186,C193+C197,IF(AND(C197+C193&lt;=C186,C196-C193&gt;=C186),C186,C196-C193))</f>
        <v>70</v>
      </c>
      <c r="D202" s="27"/>
      <c r="F202" s="20" t="s">
        <v>5</v>
      </c>
      <c r="G202" s="19"/>
      <c r="H202" s="19"/>
      <c r="I202" s="19"/>
      <c r="J202" s="21">
        <f>C201</f>
        <v>0.9</v>
      </c>
      <c r="K202" s="17"/>
      <c r="L202" s="3" t="s">
        <v>4</v>
      </c>
      <c r="M202" s="5"/>
      <c r="N202" s="5"/>
      <c r="O202" s="5"/>
      <c r="P202" s="5"/>
      <c r="Q202" s="4"/>
      <c r="R202" s="3"/>
      <c r="T202" s="2"/>
      <c r="U202" s="2"/>
      <c r="V202" s="2"/>
      <c r="W202" s="2"/>
      <c r="X202" s="26"/>
    </row>
    <row r="203" spans="1:24" ht="15.75" thickBot="1" x14ac:dyDescent="0.3">
      <c r="A203" s="25" t="s">
        <v>3</v>
      </c>
      <c r="B203" s="24"/>
      <c r="C203" s="23" t="str">
        <f>IF(C202&gt;C186,"Raised","Lowered")</f>
        <v>Raised</v>
      </c>
      <c r="D203" s="22"/>
      <c r="F203" s="20" t="s">
        <v>2</v>
      </c>
      <c r="G203" s="19"/>
      <c r="H203" s="19"/>
      <c r="I203" s="19"/>
      <c r="J203" s="21">
        <f>C198</f>
        <v>0.85</v>
      </c>
      <c r="K203" s="17"/>
      <c r="L203" s="3" t="s">
        <v>1</v>
      </c>
      <c r="M203" s="3"/>
      <c r="N203" s="3"/>
      <c r="O203" s="3"/>
      <c r="P203" s="3"/>
      <c r="Q203" s="4"/>
      <c r="R203" s="3"/>
      <c r="S203" s="12"/>
      <c r="T203" s="3"/>
      <c r="U203" s="3"/>
      <c r="V203" s="3"/>
      <c r="W203" s="3"/>
      <c r="X203" s="4"/>
    </row>
    <row r="204" spans="1:24" x14ac:dyDescent="0.25">
      <c r="A204" s="13"/>
      <c r="B204" s="12"/>
      <c r="C204" s="4"/>
      <c r="D204" s="11"/>
      <c r="F204" s="20"/>
      <c r="G204" s="19"/>
      <c r="H204" s="19"/>
      <c r="I204" s="19"/>
      <c r="J204" s="18"/>
      <c r="K204" s="17"/>
      <c r="L204" s="6"/>
      <c r="M204" s="5"/>
      <c r="N204" s="5"/>
      <c r="O204" s="5"/>
      <c r="P204" s="5"/>
      <c r="Q204" s="4"/>
      <c r="R204" s="3"/>
      <c r="T204" s="2"/>
      <c r="U204" s="2"/>
      <c r="V204" s="2"/>
      <c r="W204" s="2"/>
      <c r="X204" s="1"/>
    </row>
    <row r="205" spans="1:24" ht="30" x14ac:dyDescent="0.25">
      <c r="A205" s="13"/>
      <c r="B205" s="12"/>
      <c r="C205" s="4"/>
      <c r="D205" s="11"/>
      <c r="F205" s="20" t="str">
        <f>"Lost Opportunity Cost: " &amp; IF(C203 = "Raised","Make-Whole","Forgone Profit")</f>
        <v>Lost Opportunity Cost: Make-Whole</v>
      </c>
      <c r="G205" s="19"/>
      <c r="H205" s="19"/>
      <c r="I205" s="19"/>
      <c r="J205" s="18">
        <f>IF(C203 ="Raised",J200-J198,J198-J200)/J202*J203</f>
        <v>132.2222222222222</v>
      </c>
      <c r="K205" s="17"/>
      <c r="L205" s="15" t="s">
        <v>0</v>
      </c>
      <c r="M205" s="15"/>
      <c r="N205" s="15"/>
      <c r="O205" s="15"/>
      <c r="P205" s="15"/>
      <c r="Q205" s="14"/>
      <c r="R205" s="15"/>
      <c r="S205" s="16"/>
      <c r="T205" s="15"/>
      <c r="U205" s="15"/>
      <c r="V205" s="15"/>
      <c r="W205" s="15"/>
      <c r="X205" s="14"/>
    </row>
    <row r="206" spans="1:24" ht="15.75" thickBot="1" x14ac:dyDescent="0.3">
      <c r="A206" s="13"/>
      <c r="B206" s="12"/>
      <c r="C206" s="4"/>
      <c r="D206" s="11"/>
      <c r="F206" s="10"/>
      <c r="G206" s="9"/>
      <c r="H206" s="9"/>
      <c r="I206" s="9"/>
      <c r="J206" s="8"/>
      <c r="K206" s="7"/>
      <c r="L206" s="6"/>
      <c r="M206" s="5"/>
      <c r="N206" s="5"/>
      <c r="O206" s="5"/>
      <c r="P206" s="5"/>
      <c r="Q206" s="4"/>
      <c r="R206" s="3"/>
      <c r="T206" s="2"/>
      <c r="U206" s="2"/>
      <c r="V206" s="2"/>
      <c r="W206" s="2"/>
      <c r="X206" s="1"/>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3:AH359"/>
  <sheetViews>
    <sheetView zoomScaleNormal="100" workbookViewId="0">
      <selection activeCell="R368" sqref="R368"/>
    </sheetView>
  </sheetViews>
  <sheetFormatPr defaultRowHeight="15" x14ac:dyDescent="0.25"/>
  <cols>
    <col min="1" max="1" width="16" customWidth="1"/>
    <col min="2" max="2" width="14.7109375" customWidth="1"/>
    <col min="12" max="12" width="9.85546875" bestFit="1" customWidth="1"/>
    <col min="13" max="13" width="12.7109375" customWidth="1"/>
    <col min="14" max="14" width="12.140625" customWidth="1"/>
    <col min="15" max="15" width="13.85546875" customWidth="1"/>
    <col min="19" max="19" width="9.85546875" bestFit="1" customWidth="1"/>
    <col min="20" max="20" width="11.7109375" customWidth="1"/>
    <col min="30" max="30" width="10.85546875" customWidth="1"/>
    <col min="31" max="31" width="15.140625" customWidth="1"/>
  </cols>
  <sheetData>
    <row r="63" spans="1:24" ht="21.75" thickBot="1" x14ac:dyDescent="0.4">
      <c r="A63" s="217" t="s">
        <v>102</v>
      </c>
      <c r="B63" s="112"/>
      <c r="C63" s="112"/>
      <c r="D63" s="112"/>
      <c r="E63" s="112"/>
      <c r="F63" s="112"/>
      <c r="G63" s="112"/>
      <c r="H63" s="112"/>
      <c r="I63" s="112"/>
      <c r="J63" s="112"/>
      <c r="K63" s="112"/>
      <c r="L63" s="112"/>
      <c r="M63" s="112"/>
      <c r="N63" s="112"/>
      <c r="O63" s="112"/>
      <c r="P63" s="112"/>
      <c r="Q63" s="207"/>
      <c r="R63" s="207"/>
      <c r="S63" s="207"/>
      <c r="T63" s="207"/>
    </row>
    <row r="64" spans="1:24" ht="15.75" thickBot="1" x14ac:dyDescent="0.3">
      <c r="A64" s="206" t="s">
        <v>40</v>
      </c>
      <c r="B64" s="205"/>
      <c r="C64" s="205"/>
      <c r="D64" s="199"/>
      <c r="E64" s="53" t="s">
        <v>82</v>
      </c>
      <c r="F64" s="95"/>
      <c r="G64" s="94"/>
      <c r="H64" s="156" t="s">
        <v>87</v>
      </c>
      <c r="I64" s="155"/>
      <c r="J64" s="157"/>
      <c r="K64" s="156" t="s">
        <v>86</v>
      </c>
      <c r="L64" s="155"/>
      <c r="M64" s="157"/>
      <c r="N64" s="156" t="s">
        <v>85</v>
      </c>
      <c r="O64" s="155"/>
      <c r="P64" s="157"/>
      <c r="Q64" s="156" t="s">
        <v>88</v>
      </c>
      <c r="R64" s="155"/>
      <c r="S64" s="155"/>
      <c r="T64" s="157"/>
      <c r="U64" s="156" t="s">
        <v>36</v>
      </c>
      <c r="V64" s="155"/>
      <c r="W64" s="155"/>
      <c r="X64" s="157"/>
    </row>
    <row r="65" spans="1:34" ht="30.75" thickBot="1" x14ac:dyDescent="0.3">
      <c r="A65" s="106" t="s">
        <v>35</v>
      </c>
      <c r="B65" s="89" t="s">
        <v>34</v>
      </c>
      <c r="C65" s="89" t="s">
        <v>33</v>
      </c>
      <c r="D65" s="105" t="s">
        <v>39</v>
      </c>
      <c r="E65" s="204" t="s">
        <v>75</v>
      </c>
      <c r="F65" s="92" t="s">
        <v>84</v>
      </c>
      <c r="G65" s="91" t="s">
        <v>83</v>
      </c>
      <c r="H65" s="204" t="s">
        <v>75</v>
      </c>
      <c r="I65" s="92" t="s">
        <v>32</v>
      </c>
      <c r="J65" s="91" t="s">
        <v>31</v>
      </c>
      <c r="K65" s="204" t="s">
        <v>75</v>
      </c>
      <c r="L65" s="92" t="s">
        <v>32</v>
      </c>
      <c r="M65" s="91" t="s">
        <v>31</v>
      </c>
      <c r="N65" s="204" t="s">
        <v>75</v>
      </c>
      <c r="O65" s="92" t="s">
        <v>32</v>
      </c>
      <c r="P65" s="91" t="s">
        <v>31</v>
      </c>
      <c r="Q65" s="90" t="s">
        <v>38</v>
      </c>
      <c r="R65" s="89" t="s">
        <v>37</v>
      </c>
      <c r="S65" s="89" t="s">
        <v>32</v>
      </c>
      <c r="T65" s="88" t="s">
        <v>31</v>
      </c>
      <c r="U65" s="90" t="s">
        <v>38</v>
      </c>
      <c r="V65" s="89" t="s">
        <v>37</v>
      </c>
      <c r="W65" s="89" t="s">
        <v>32</v>
      </c>
      <c r="X65" s="88" t="s">
        <v>31</v>
      </c>
    </row>
    <row r="66" spans="1:34" x14ac:dyDescent="0.25">
      <c r="A66" s="104">
        <v>1</v>
      </c>
      <c r="B66" s="102">
        <v>0</v>
      </c>
      <c r="C66" s="102">
        <v>50</v>
      </c>
      <c r="D66" s="84">
        <v>20</v>
      </c>
      <c r="E66" s="203">
        <f>IF(AND(C85&gt;B66,C85&lt;=C66),C85,0)</f>
        <v>0</v>
      </c>
      <c r="F66" s="85">
        <f>IF(C85&gt;0,D66,0)</f>
        <v>0</v>
      </c>
      <c r="G66" s="84">
        <f>IF(E66&gt;0,IF(E66=B66,D66,IF(AND(E66&gt;B66,E66&lt;=C66),D66+(E66-B66)*((D66-D66)/(C66-B66)),0)),0)</f>
        <v>0</v>
      </c>
      <c r="H66" s="202">
        <f>IF(AND(C94&gt;B66,C94&lt;=C66),C94,0)</f>
        <v>0</v>
      </c>
      <c r="I66" s="85">
        <f>IF(C94&gt;0,D66,0)</f>
        <v>20</v>
      </c>
      <c r="J66" s="84">
        <f>IF(H66&gt;0,IF(H66=B66,D66,IF(AND(H66&gt;B66,H66&lt;=C66),D66+(H66-B66)*((D66-D66)/(C66-B66)),0)),0)</f>
        <v>0</v>
      </c>
      <c r="K66" s="103">
        <f>IF(AND(C96&gt;B66,C96&lt;=C66),C96,0)</f>
        <v>0</v>
      </c>
      <c r="L66" s="85">
        <f>IF(C94&gt;0,D66,0)</f>
        <v>20</v>
      </c>
      <c r="M66" s="84">
        <f>IF(K66&gt;0,IF(K66=B66,D66,IF(AND(K66&gt;B66,K66&lt;=C66),D66+(K66-B66)*((D66-D66)/(C66-B66)),0)),0)</f>
        <v>0</v>
      </c>
      <c r="N66" s="103">
        <f>IF(AND(C97&gt;E66,C97&lt;=F66),C97,0)</f>
        <v>0</v>
      </c>
      <c r="O66" s="85">
        <f>IF(C97&gt;0,D66,0)</f>
        <v>20</v>
      </c>
      <c r="P66" s="84">
        <f>IF(N66&gt;0,IF(N66=B66,D66,IF(AND(N66&gt;B66,N66&lt;=C66),D66+(N66-B66)*((D66-D66)/(C66-B66)),0)),0)</f>
        <v>0</v>
      </c>
      <c r="Q66" s="103">
        <f>IF(MIN(C97,C113)=C66,C66,0)</f>
        <v>0</v>
      </c>
      <c r="R66" s="102">
        <f>IF(MAX(C97,C113)=C66,C66,0)</f>
        <v>0</v>
      </c>
      <c r="S66" s="85">
        <f>IF(Q66&gt;0,D66,0)</f>
        <v>0</v>
      </c>
      <c r="T66" s="84">
        <f>IF(R66&gt;0,IF(R66=B66,D66,IF(AND(R66&gt;B66,R66&lt;=C66),D66+(R66-B66)*((D66-D66)/(C66-B66)),0)),0)</f>
        <v>0</v>
      </c>
      <c r="U66" s="103">
        <f>IF(MIN(C97,C113)=C66,C66,0)</f>
        <v>0</v>
      </c>
      <c r="V66" s="102">
        <f>IF(MAX(C97,C113)=C66,C66,0)</f>
        <v>0</v>
      </c>
      <c r="W66" s="85">
        <f>IF(U66&gt;0,D66,0)</f>
        <v>0</v>
      </c>
      <c r="X66" s="84">
        <f>IF(V66&gt;0,IF(V66=B66,D66,IF(AND(V66&gt;B66,V66&lt;=C66),D66+(V66-B66)*((D66-D66)/(C66-B66)),0)),0)</f>
        <v>0</v>
      </c>
    </row>
    <row r="67" spans="1:34" x14ac:dyDescent="0.25">
      <c r="A67" s="30"/>
      <c r="B67" s="29"/>
      <c r="C67" s="29"/>
      <c r="D67" s="81"/>
      <c r="E67" s="201"/>
      <c r="F67" s="1"/>
      <c r="G67" s="81"/>
      <c r="H67" s="216"/>
      <c r="I67" s="1"/>
      <c r="J67" s="81"/>
      <c r="K67" s="101"/>
      <c r="L67" s="1"/>
      <c r="M67" s="81"/>
      <c r="N67" s="101"/>
      <c r="O67" s="1"/>
      <c r="P67" s="81"/>
      <c r="Q67" s="101"/>
      <c r="R67" s="29"/>
      <c r="S67" s="1"/>
      <c r="T67" s="81"/>
      <c r="U67" s="101"/>
      <c r="V67" s="29"/>
      <c r="W67" s="1"/>
      <c r="X67" s="81"/>
    </row>
    <row r="68" spans="1:34" x14ac:dyDescent="0.25">
      <c r="A68" s="30"/>
      <c r="B68" s="29"/>
      <c r="C68" s="29"/>
      <c r="D68" s="81"/>
      <c r="E68" s="201"/>
      <c r="F68" s="1"/>
      <c r="G68" s="81"/>
      <c r="H68" s="216"/>
      <c r="I68" s="1"/>
      <c r="J68" s="81"/>
      <c r="K68" s="101"/>
      <c r="L68" s="1"/>
      <c r="M68" s="81"/>
      <c r="N68" s="101"/>
      <c r="O68" s="1"/>
      <c r="P68" s="81"/>
      <c r="Q68" s="101"/>
      <c r="R68" s="29"/>
      <c r="S68" s="1"/>
      <c r="T68" s="81"/>
      <c r="U68" s="101"/>
      <c r="V68" s="29"/>
      <c r="W68" s="1"/>
      <c r="X68" s="81"/>
    </row>
    <row r="69" spans="1:34" x14ac:dyDescent="0.25">
      <c r="A69" s="30"/>
      <c r="B69" s="29"/>
      <c r="C69" s="29"/>
      <c r="D69" s="81"/>
      <c r="E69" s="201"/>
      <c r="F69" s="1"/>
      <c r="G69" s="81"/>
      <c r="H69" s="216"/>
      <c r="I69" s="1"/>
      <c r="J69" s="81"/>
      <c r="K69" s="101"/>
      <c r="L69" s="1"/>
      <c r="M69" s="81"/>
      <c r="N69" s="101"/>
      <c r="O69" s="1"/>
      <c r="P69" s="81"/>
      <c r="Q69" s="101"/>
      <c r="R69" s="29"/>
      <c r="S69" s="1"/>
      <c r="T69" s="81"/>
      <c r="U69" s="101"/>
      <c r="V69" s="29"/>
      <c r="W69" s="1"/>
      <c r="X69" s="81"/>
    </row>
    <row r="70" spans="1:34" x14ac:dyDescent="0.25">
      <c r="A70" s="30"/>
      <c r="B70" s="29"/>
      <c r="C70" s="29"/>
      <c r="D70" s="81"/>
      <c r="E70" s="201"/>
      <c r="F70" s="1"/>
      <c r="G70" s="81"/>
      <c r="H70" s="216"/>
      <c r="I70" s="1"/>
      <c r="J70" s="81"/>
      <c r="K70" s="101"/>
      <c r="L70" s="1"/>
      <c r="M70" s="81"/>
      <c r="N70" s="101"/>
      <c r="O70" s="1"/>
      <c r="P70" s="81"/>
      <c r="Q70" s="101"/>
      <c r="R70" s="29"/>
      <c r="S70" s="1"/>
      <c r="T70" s="81"/>
      <c r="U70" s="101"/>
      <c r="V70" s="29"/>
      <c r="W70" s="1"/>
      <c r="X70" s="81"/>
    </row>
    <row r="71" spans="1:34" x14ac:dyDescent="0.25">
      <c r="A71" s="30"/>
      <c r="B71" s="29"/>
      <c r="C71" s="29"/>
      <c r="D71" s="81"/>
      <c r="E71" s="201"/>
      <c r="F71" s="1"/>
      <c r="G71" s="81"/>
      <c r="H71" s="216"/>
      <c r="I71" s="1"/>
      <c r="J71" s="81"/>
      <c r="K71" s="101"/>
      <c r="L71" s="1"/>
      <c r="M71" s="81"/>
      <c r="N71" s="101"/>
      <c r="O71" s="1"/>
      <c r="P71" s="81"/>
      <c r="Q71" s="101"/>
      <c r="R71" s="29"/>
      <c r="S71" s="1"/>
      <c r="T71" s="81"/>
      <c r="U71" s="101"/>
      <c r="V71" s="29"/>
      <c r="W71" s="1"/>
      <c r="X71" s="81"/>
    </row>
    <row r="72" spans="1:34" x14ac:dyDescent="0.25">
      <c r="A72" s="30">
        <v>2</v>
      </c>
      <c r="B72" s="29">
        <v>50</v>
      </c>
      <c r="C72" s="29">
        <v>75</v>
      </c>
      <c r="D72" s="81">
        <v>25</v>
      </c>
      <c r="E72" s="201">
        <f>IF(AND(C85&gt;B72,C85&lt;=C72),C85,0)</f>
        <v>0</v>
      </c>
      <c r="F72" s="1">
        <v>0</v>
      </c>
      <c r="G72" s="81">
        <f>IF(E72&gt;0,IF(AND(E72&gt;B72,E72&lt;C72),D66+(E72-B72)*((D72-D66)/(C72-B72)),0),0)</f>
        <v>0</v>
      </c>
      <c r="H72" s="101">
        <f>IF(AND(C94&gt;B72,C94&lt;=C72),C94,0)</f>
        <v>0</v>
      </c>
      <c r="I72" s="1">
        <v>0</v>
      </c>
      <c r="J72" s="81">
        <f>IF(H72&gt;0,IF(H72=B72,D72,IF(AND(H72&gt;B72,H72&lt;=C72),D66+(H72-B72)*((D72-D66)/(C72-B72)),0)),0)</f>
        <v>0</v>
      </c>
      <c r="K72" s="101">
        <f>IF(AND(C96&gt;B72,C96&lt;=C72),C96,0)</f>
        <v>0</v>
      </c>
      <c r="L72" s="1">
        <v>0</v>
      </c>
      <c r="M72" s="81">
        <f>IF(K72&gt;0,IF(K72=B72,D72,IF(AND(K72&gt;B72,K72&lt;=C72),D66+(K72-B72)*((D72-D66)/(C72-B72)),0)),0)</f>
        <v>0</v>
      </c>
      <c r="N72" s="101">
        <f>IF(AND(C97&gt;B72,C97&lt;=C72),C97,0)</f>
        <v>0</v>
      </c>
      <c r="O72" s="1">
        <v>0</v>
      </c>
      <c r="P72" s="81">
        <f>IF(N72&gt;0,IF(N72=B72,D72,IF(AND(N72&gt;B72,N72&lt;=C72),D66+(N72-B72)*((D72-D66)/(C72-B72)),0)),0)</f>
        <v>0</v>
      </c>
      <c r="Q72" s="101">
        <f>IF(AND(MIN(C97,C113)&gt;B72,MIN(C97,C113)&lt;=C72),MIN(C97,C113),0)</f>
        <v>0</v>
      </c>
      <c r="R72" s="29">
        <f>IF(AND(MAX(C97,C113)&gt;B72,MAX(C97,C113)&lt;=C72),MAX(C97,C113),0)</f>
        <v>0</v>
      </c>
      <c r="S72" s="1">
        <f>IF(Q72&gt;0,IF(Q72=B72,D72,IF(AND(Q72&gt;B72,Q72&lt;=C72),D66+(Q72-B72)*((D72-D66)/(C72-B72)),0)),0)</f>
        <v>0</v>
      </c>
      <c r="T72" s="81">
        <f>IF(R72&gt;0,IF(R72=B72,D72,IF(AND(R72&gt;B72,R72&lt;=C72),D66+(R72-B72)*((D72-D66)/(C72-B72)),0)),0)</f>
        <v>0</v>
      </c>
      <c r="U72" s="101">
        <f>IF(AND(MIN(C97,C113)&gt;B72,MIN(C97,C113)&lt;=C72),MIN(C97,C113),0)</f>
        <v>0</v>
      </c>
      <c r="V72" s="29">
        <f>IF(AND(MAX(C97,C113)&gt;B72,MAX(C97,C113)&lt;=C72),MAX(C97,C113),0)</f>
        <v>0</v>
      </c>
      <c r="W72" s="1">
        <f>IF(U72&gt;0,IF(U72=B72,D72,IF(AND(U72&gt;B72,U72&lt;=C72),D66+(U72-B72)*((D72-D66)/(C72-B72)),0)),0)</f>
        <v>0</v>
      </c>
      <c r="X72" s="81">
        <f>IF(V72&gt;0,IF(V72=B72,D72,IF(AND(V72&gt;B72,V72&lt;=C72),D66+(V72-B72)*((D72-D66)/(C72-B72)),0)),0)</f>
        <v>0</v>
      </c>
    </row>
    <row r="73" spans="1:34" ht="15.75" thickBot="1" x14ac:dyDescent="0.3">
      <c r="A73" s="100">
        <v>3</v>
      </c>
      <c r="B73" s="98">
        <v>75</v>
      </c>
      <c r="C73" s="98">
        <v>100</v>
      </c>
      <c r="D73" s="97">
        <v>30</v>
      </c>
      <c r="E73" s="200">
        <f>IF(AND(C85&gt;B73,C85&lt;=C73),C85,IF(C85&gt;C73,C85,0))</f>
        <v>0</v>
      </c>
      <c r="F73" s="23">
        <v>0</v>
      </c>
      <c r="G73" s="97">
        <f>IF(E73&gt;0,IF(E73=C73,D73,IF(AND(E73&gt;B73,E73&lt;C73),D72+(E73-B73)*((D73-D72)/(C73-B73)),IF(E73&gt;C73,D73,0))),0)</f>
        <v>0</v>
      </c>
      <c r="H73" s="99">
        <f>IF(AND(C94&gt;B73,C94&lt;=C73),C94,IF(C94&gt;C73,C94,0))</f>
        <v>80</v>
      </c>
      <c r="I73" s="23">
        <v>0</v>
      </c>
      <c r="J73" s="97">
        <f>IF(H73&gt;0,IF(H73=B73,D73,IF(AND(H73&gt;B73,H73&lt;=C73),D72+(H73-B73)*((D73-D72)/(C73-B73)),IF(H73&gt;C73,D73,0))),0)</f>
        <v>26</v>
      </c>
      <c r="K73" s="99">
        <f>IF(AND(C96&gt;B73,C96&lt;=C73),C96,IF(C96&gt;C73,C96,0))</f>
        <v>80</v>
      </c>
      <c r="L73" s="23">
        <v>0</v>
      </c>
      <c r="M73" s="97">
        <f>IF(K73&gt;0,IF(K73=B73,D73,IF(AND(K73&gt;B73,K73&lt;=C73),D72+(K73-B73)*((D73-D72)/(C73-B73)),IF(K73&gt;C73,D73,0))),0)</f>
        <v>26</v>
      </c>
      <c r="N73" s="99">
        <f>IF(AND(C97&gt;B73,C97&lt;=C73),C97,IF(C97&gt;C73,C97,0))</f>
        <v>100</v>
      </c>
      <c r="O73" s="23">
        <v>0</v>
      </c>
      <c r="P73" s="97">
        <f>IF(N73&gt;0,IF(N73=B73,D73,IF(AND(N73&gt;B73,N73&lt;=C73),D72+(N73-B73)*((D73-D72)/(C73-B73)),IF(N73&gt;C73,D73,0))),0)</f>
        <v>30</v>
      </c>
      <c r="Q73" s="99">
        <f>IF(AND(MIN(C97,C113)&gt;B73,MIN(C97,C113)&lt;=C73),MIN(C97,C113),0)</f>
        <v>80</v>
      </c>
      <c r="R73" s="98">
        <f>IF(OR(AND(MAX(C97,C113)&gt;B73,MAX(C97,C113)&lt;=C73),MAX(C97,C113)&gt;C73),MAX(C97,C113),0)</f>
        <v>100</v>
      </c>
      <c r="S73" s="23">
        <f>IF(Q73&gt;0,IF(Q73=B73,D73,IF(AND(Q73&gt;B73,Q73&lt;=C73),D72+(Q73-B73)*((D73-D72)/(C73-B73)),IF(Q73&gt;C73,D73,0))),0)</f>
        <v>26</v>
      </c>
      <c r="T73" s="97">
        <f>IF(R73&gt;0,IF(R73=B73,D73,IF(AND(R73&gt;B73,R73&lt;=C73),D72+(R73-B73)*((D73-D72)/(C73-B73)),IF(R73&gt;C73,D73,0))),0)</f>
        <v>30</v>
      </c>
      <c r="U73" s="99">
        <f>IF(AND(MIN(C97,C113)&gt;B73,MIN(C97,C113)&lt;=C73),MIN(C97,C113),0)</f>
        <v>80</v>
      </c>
      <c r="V73" s="98">
        <f>IF(AND(MAX(C97,C113)&gt;B73,MAX(C97,C113)&lt;=C73),MAX(C97,C113),0)</f>
        <v>100</v>
      </c>
      <c r="W73" s="23">
        <f>IF(U73&gt;0,IF(U73=B73,D73,IF(AND(U73&gt;B73,U73&lt;=C73),D72+(U73-B73)*((D73-D72)/(C73-B73)),IF(U73&gt;C73,D73,0))),0)</f>
        <v>26</v>
      </c>
      <c r="X73" s="97">
        <f>IF(V73&gt;0,IF(V73=B73,D73,IF(AND(V73&gt;B73,V73&lt;=C73),D72+(V73-B73)*((D73-D72)/(C73-B73)),IF(V73&gt;C73,D73,0))),0)</f>
        <v>30</v>
      </c>
    </row>
    <row r="74" spans="1:34" ht="15.75" thickBot="1" x14ac:dyDescent="0.3">
      <c r="J74" s="96"/>
    </row>
    <row r="75" spans="1:34" ht="15.75" thickBot="1" x14ac:dyDescent="0.3">
      <c r="A75" s="156" t="s">
        <v>82</v>
      </c>
      <c r="B75" s="156"/>
      <c r="C75" s="155"/>
      <c r="D75" s="155"/>
      <c r="E75" s="155"/>
      <c r="F75" s="157"/>
      <c r="G75" s="198"/>
      <c r="H75" s="53" t="s">
        <v>81</v>
      </c>
      <c r="I75" s="95"/>
      <c r="J75" s="95"/>
      <c r="K75" s="95"/>
      <c r="L75" s="95"/>
      <c r="M75" s="94"/>
      <c r="O75" s="53" t="s">
        <v>80</v>
      </c>
      <c r="P75" s="95"/>
      <c r="Q75" s="95"/>
      <c r="R75" s="95"/>
      <c r="S75" s="95"/>
      <c r="T75" s="94"/>
      <c r="V75" s="53" t="s">
        <v>88</v>
      </c>
      <c r="W75" s="95"/>
      <c r="X75" s="95"/>
      <c r="Y75" s="95"/>
      <c r="Z75" s="95"/>
      <c r="AA75" s="94"/>
      <c r="AC75" s="53" t="s">
        <v>36</v>
      </c>
      <c r="AD75" s="95"/>
      <c r="AE75" s="95"/>
      <c r="AF75" s="95"/>
      <c r="AG75" s="95"/>
      <c r="AH75" s="94"/>
    </row>
    <row r="76" spans="1:34" ht="30.75" thickBot="1" x14ac:dyDescent="0.3">
      <c r="A76" s="90" t="s">
        <v>35</v>
      </c>
      <c r="B76" s="89" t="s">
        <v>34</v>
      </c>
      <c r="C76" s="89" t="s">
        <v>33</v>
      </c>
      <c r="D76" s="89" t="s">
        <v>32</v>
      </c>
      <c r="E76" s="89" t="s">
        <v>31</v>
      </c>
      <c r="F76" s="199" t="s">
        <v>30</v>
      </c>
      <c r="G76" s="198"/>
      <c r="H76" s="93" t="s">
        <v>35</v>
      </c>
      <c r="I76" s="92" t="s">
        <v>34</v>
      </c>
      <c r="J76" s="92" t="s">
        <v>33</v>
      </c>
      <c r="K76" s="92" t="s">
        <v>32</v>
      </c>
      <c r="L76" s="92" t="s">
        <v>31</v>
      </c>
      <c r="M76" s="91" t="s">
        <v>30</v>
      </c>
      <c r="O76" s="93" t="s">
        <v>35</v>
      </c>
      <c r="P76" s="92" t="s">
        <v>34</v>
      </c>
      <c r="Q76" s="92" t="s">
        <v>33</v>
      </c>
      <c r="R76" s="92" t="s">
        <v>32</v>
      </c>
      <c r="S76" s="92" t="s">
        <v>31</v>
      </c>
      <c r="T76" s="91" t="s">
        <v>30</v>
      </c>
      <c r="V76" s="93" t="s">
        <v>35</v>
      </c>
      <c r="W76" s="92" t="s">
        <v>34</v>
      </c>
      <c r="X76" s="92" t="s">
        <v>33</v>
      </c>
      <c r="Y76" s="92" t="s">
        <v>32</v>
      </c>
      <c r="Z76" s="92" t="s">
        <v>31</v>
      </c>
      <c r="AA76" s="91" t="s">
        <v>30</v>
      </c>
      <c r="AC76" s="90" t="s">
        <v>35</v>
      </c>
      <c r="AD76" s="89" t="s">
        <v>34</v>
      </c>
      <c r="AE76" s="89" t="s">
        <v>33</v>
      </c>
      <c r="AF76" s="89" t="s">
        <v>32</v>
      </c>
      <c r="AG76" s="89" t="s">
        <v>31</v>
      </c>
      <c r="AH76" s="88" t="s">
        <v>30</v>
      </c>
    </row>
    <row r="77" spans="1:34" x14ac:dyDescent="0.25">
      <c r="A77" s="104">
        <v>1</v>
      </c>
      <c r="B77" s="102">
        <v>0</v>
      </c>
      <c r="C77" s="102">
        <f>IF(AND(C85&gt;B66,C85&lt;C66),C85,IF(C85&gt;=C66,C66,0))</f>
        <v>0</v>
      </c>
      <c r="D77" s="85">
        <f>MIN(D66,F66)</f>
        <v>0</v>
      </c>
      <c r="E77" s="85">
        <f>IF(AND(C85&gt;B66,C85&lt;C66),G66,IF(C85&gt;=C66,D66,0))</f>
        <v>0</v>
      </c>
      <c r="F77" s="84">
        <f>(C77-B77)*(D77+E77)/2</f>
        <v>0</v>
      </c>
      <c r="G77" s="51"/>
      <c r="H77" s="104">
        <v>1</v>
      </c>
      <c r="I77" s="102">
        <v>0</v>
      </c>
      <c r="J77" s="102">
        <f>IF(AND(C94&gt;B66,C94&lt;C66),C94,IF(C94&gt;=C66,C66,0))</f>
        <v>50</v>
      </c>
      <c r="K77" s="85">
        <f>MIN(D66,I66)</f>
        <v>20</v>
      </c>
      <c r="L77" s="85">
        <f>IF(AND(C94&gt;B66,C94&lt;C66),J66,IF(C94&gt;=C66,D66,0))</f>
        <v>20</v>
      </c>
      <c r="M77" s="84">
        <f>(J77-I77)*(K77+L77)/2</f>
        <v>1000</v>
      </c>
      <c r="O77" s="87">
        <v>1</v>
      </c>
      <c r="P77" s="86">
        <v>0</v>
      </c>
      <c r="Q77" s="86">
        <f>IF(AND(C96&gt;B66,C96&lt;C66),C96,IF(C96&gt;=C66,C66,0))</f>
        <v>50</v>
      </c>
      <c r="R77" s="85">
        <f>MIN(D66,L66)</f>
        <v>20</v>
      </c>
      <c r="S77" s="85">
        <f>IF(AND(C96&gt;B66,C96&lt;C66),M66,IF(C96&gt;=C66,D66,0))</f>
        <v>20</v>
      </c>
      <c r="T77" s="84">
        <f>(Q77-P77)*(R77+S77)/2</f>
        <v>1000</v>
      </c>
      <c r="V77" s="87">
        <v>1</v>
      </c>
      <c r="W77" s="86">
        <v>0</v>
      </c>
      <c r="X77" s="86">
        <f>MIN(U66,C66)</f>
        <v>0</v>
      </c>
      <c r="Y77" s="85">
        <f>IF(W77&lt;&gt;0,MIN(D66,S66),0)</f>
        <v>0</v>
      </c>
      <c r="Z77" s="85">
        <f>IF(AND(X77&gt;B66,X77&lt;C66),T66,IF(X77&gt;=C66,D66,0))</f>
        <v>0</v>
      </c>
      <c r="AA77" s="84">
        <f>(X77-W77)*(Y77+Z77)/2</f>
        <v>0</v>
      </c>
      <c r="AC77" s="83">
        <v>1</v>
      </c>
      <c r="AD77" s="82">
        <v>0</v>
      </c>
      <c r="AE77" s="82">
        <f>MIN(V66,C66)</f>
        <v>0</v>
      </c>
      <c r="AF77" s="1">
        <f>IF(AD77&lt;&gt;0,MIN(D66,W66),0)</f>
        <v>0</v>
      </c>
      <c r="AG77" s="1">
        <f>IF(AND(AE77&gt;B66,AE77&lt;C66),X66,IF(AE77&gt;=C66,D66,0))</f>
        <v>0</v>
      </c>
      <c r="AH77" s="81">
        <f>(AE77-AD77)*(AF77+AG77)/2</f>
        <v>0</v>
      </c>
    </row>
    <row r="78" spans="1:34" x14ac:dyDescent="0.25">
      <c r="A78" s="30">
        <v>2</v>
      </c>
      <c r="B78" s="29">
        <f>IF(C85&gt;B72,C77,0)</f>
        <v>0</v>
      </c>
      <c r="C78" s="29">
        <f>IF(AND(C85&gt;B72,C85&lt;C72),C85,IF(C85&gt;=C72,C72,0))</f>
        <v>0</v>
      </c>
      <c r="D78" s="1">
        <f>IF(B78&lt;&gt;0,E77,0)</f>
        <v>0</v>
      </c>
      <c r="E78" s="1">
        <f>IF(AND(C85&gt;B72,C85&lt;C72),G72,IF(C85&gt;=C72,D72,0))</f>
        <v>0</v>
      </c>
      <c r="F78" s="81">
        <f>(C78-B78)*(D78+E78)/2</f>
        <v>0</v>
      </c>
      <c r="G78" s="27"/>
      <c r="H78" s="30">
        <v>2</v>
      </c>
      <c r="I78" s="29">
        <f>IF(C94&gt;B72,J77,0)</f>
        <v>50</v>
      </c>
      <c r="J78" s="29">
        <f>IF(AND(C94&gt;B72,C94&lt;C72),C94,IF(C94&gt;=C72,C72,0))</f>
        <v>75</v>
      </c>
      <c r="K78" s="1">
        <f>IF(I78&lt;&gt;0,L77,0)</f>
        <v>20</v>
      </c>
      <c r="L78" s="1">
        <f>IF(AND(C94&gt;B72,C94&lt;C72),J72,IF(C94&gt;=C72,D72,0))</f>
        <v>25</v>
      </c>
      <c r="M78" s="81">
        <f>(J78-I78)*(K78+L78)/2</f>
        <v>562.5</v>
      </c>
      <c r="O78" s="83">
        <v>2</v>
      </c>
      <c r="P78" s="82">
        <f>IF(C96&gt;B72,Q77,0)</f>
        <v>50</v>
      </c>
      <c r="Q78" s="82">
        <f>IF(AND(C96&gt;B72,C96&lt;C72),C96,IF(C96&gt;=C72,C72,0))</f>
        <v>75</v>
      </c>
      <c r="R78" s="1">
        <f>IF(P78&lt;&gt;0,S77,0)</f>
        <v>20</v>
      </c>
      <c r="S78" s="1">
        <f>IF(AND(C96&gt;B72,C96&lt;C72),M72,IF(C96&gt;=C72,D72,0))</f>
        <v>25</v>
      </c>
      <c r="T78" s="81">
        <f>(Q78-P78)*(R78+S78)/2</f>
        <v>562.5</v>
      </c>
      <c r="V78" s="83">
        <v>2</v>
      </c>
      <c r="W78" s="82">
        <f>IF(X77&gt;0,B72,MIN(C72,Q72))</f>
        <v>0</v>
      </c>
      <c r="X78" s="82">
        <f>IF(AND(W78&gt;0,MAX(R66:R73)&lt;C72),MAX(R66:R73),IF(AND(MAX(R66:R73)&gt;=C72,W78&gt;0),C72,0))</f>
        <v>0</v>
      </c>
      <c r="Y78" s="1">
        <f>IF(W78&lt;&gt;0,MIN(D72,S72),0)</f>
        <v>0</v>
      </c>
      <c r="Z78" s="1">
        <f>IF(AND(X78&gt;B72,X78&lt;C72),T72,IF(X78&gt;=C72,D72,0))</f>
        <v>0</v>
      </c>
      <c r="AA78" s="81">
        <f>(X78-W78)*(Y78+Z78)/2</f>
        <v>0</v>
      </c>
      <c r="AC78" s="83">
        <v>2</v>
      </c>
      <c r="AD78" s="82">
        <f>IF(AE77&gt;0,B72,MIN(C72,U72))</f>
        <v>0</v>
      </c>
      <c r="AE78" s="82">
        <f>IF(AND(AD78&gt;0,MAX(V66:V73)&lt;C72),MAX(V66:V73),IF(AND(MAX(V66:V73)&gt;=C72,AD78&gt;0),C72,0))</f>
        <v>0</v>
      </c>
      <c r="AF78" s="1">
        <f>IF(AD78&lt;&gt;0,MIN(D72,W72),0)</f>
        <v>0</v>
      </c>
      <c r="AG78" s="1">
        <f>IF(AND(AE78&gt;B72,AE78&lt;C72),X72,IF(AE78&gt;=C72,D72,0))</f>
        <v>0</v>
      </c>
      <c r="AH78" s="81">
        <f>(AE78-AD78)*(AF78+AG78)/2</f>
        <v>0</v>
      </c>
    </row>
    <row r="79" spans="1:34" x14ac:dyDescent="0.25">
      <c r="A79" s="30">
        <v>3</v>
      </c>
      <c r="B79" s="29">
        <f>IF(C85&gt;B73,C78,0)</f>
        <v>0</v>
      </c>
      <c r="C79" s="29">
        <f>IF(AND(C85&gt;B73,C85&lt;C73),C85,IF(C85&gt;=C73,C73,0))</f>
        <v>0</v>
      </c>
      <c r="D79" s="1">
        <f>IF(B79&lt;&gt;0,E78,0)</f>
        <v>0</v>
      </c>
      <c r="E79" s="1">
        <f>IF(AND(C85&gt;B73,C85&lt;C73),G73,IF(C85&gt;=C73,D73,0))</f>
        <v>0</v>
      </c>
      <c r="F79" s="81">
        <f>(C79-B79)*(D79+E79)/2</f>
        <v>0</v>
      </c>
      <c r="G79" s="27"/>
      <c r="H79" s="30">
        <v>3</v>
      </c>
      <c r="I79" s="29">
        <f>IF(C94&gt;B73,J78,0)</f>
        <v>75</v>
      </c>
      <c r="J79" s="29">
        <f>IF(AND(C94&gt;B73,C94&lt;C73),C94,IF(C94&gt;=C73,C73,0))</f>
        <v>80</v>
      </c>
      <c r="K79" s="1">
        <f>IF(I79&lt;&gt;0,L78,0)</f>
        <v>25</v>
      </c>
      <c r="L79" s="1">
        <f>IF(AND(C94&gt;B73,C94&lt;C73),J73,IF(C94&gt;=C73,D73,0))</f>
        <v>26</v>
      </c>
      <c r="M79" s="81">
        <f>(J79-I79)*(K79+L79)/2</f>
        <v>127.5</v>
      </c>
      <c r="O79" s="83">
        <v>3</v>
      </c>
      <c r="P79" s="82">
        <f>IF(C96&gt;B73,Q78,0)</f>
        <v>75</v>
      </c>
      <c r="Q79" s="82">
        <f>IF(AND(C96&gt;B73,C96&lt;C73),C96,IF(C96&gt;=C73,C73,0))</f>
        <v>80</v>
      </c>
      <c r="R79" s="1">
        <f>IF(P79&lt;&gt;0,S78,0)</f>
        <v>25</v>
      </c>
      <c r="S79" s="1">
        <f>IF(AND(C96&gt;B73,C96&lt;C73),M73,IF(C96&gt;=C73,D73,0))</f>
        <v>26</v>
      </c>
      <c r="T79" s="81">
        <f>(Q79-P79)*(R79+S79)/2</f>
        <v>127.5</v>
      </c>
      <c r="V79" s="83">
        <v>3</v>
      </c>
      <c r="W79" s="82">
        <f>IF(AND(X78&gt;0,MAX(R66:R73)&gt;C72),B73,IF(AND(MAX(Q66:Q73)&gt;B73,MAX(Q66:Q73)&lt;C73),MAX(Q66:Q73),MIN(C73,Q72)))</f>
        <v>80</v>
      </c>
      <c r="X79" s="82">
        <f>IF(AND(MAX(R66:R73)&gt;B73,MAX(R66:R73)&lt;C73),MAX(R66:R73),IF(MAX(R66:R73)&gt;=C73,C73,0))</f>
        <v>100</v>
      </c>
      <c r="Y79" s="1">
        <f>IF(AND(W79&lt;&gt;0,X78&lt;&gt;0),Z78,IF(MAX(Q66:Q73)=W79,MAX(S66:S73),0))</f>
        <v>26</v>
      </c>
      <c r="Z79" s="1">
        <f>IF(AND(X79&gt;B73,X79&lt;C73),T73,IF(X79&gt;=C73,D73,0))</f>
        <v>30</v>
      </c>
      <c r="AA79" s="81">
        <f>(X79-W79)*(Y79+Z79)/2</f>
        <v>560</v>
      </c>
      <c r="AC79" s="83">
        <v>3</v>
      </c>
      <c r="AD79" s="82">
        <f>IF(AND(AE78&gt;0,MAX(V66:V73)&gt;C72),B73,IF(AND(MAX(U66:U73)&gt;B73,MAX(U66:U73)&lt;C73),MAX(U66:U73),MIN(C73,U72)))</f>
        <v>80</v>
      </c>
      <c r="AE79" s="82">
        <f>IF(AND(MAX(V66:V73)&gt;B73,MAX(V66:V73)&lt;C73),MAX(V66:V73),IF(MAX(V66:V73)&gt;=C73,C73,0))</f>
        <v>100</v>
      </c>
      <c r="AF79" s="1">
        <f>IF(AND(AD79&lt;&gt;0,AE78&lt;&gt;0),AG78,IF(MAX(U66:U73)=AD79,MAX(W66:W73),0))</f>
        <v>26</v>
      </c>
      <c r="AG79" s="1">
        <f>IF(AND(AE79&gt;B73,AE79&lt;C73),X73,IF(AE79&gt;=C73,D73,0))</f>
        <v>30</v>
      </c>
      <c r="AH79" s="81">
        <f>(AE79-AD79)*(AF79+AG79)/2</f>
        <v>560</v>
      </c>
    </row>
    <row r="80" spans="1:34" x14ac:dyDescent="0.25">
      <c r="A80" s="30">
        <v>4</v>
      </c>
      <c r="B80" s="29">
        <f>IF(C85&gt;C73,C79,0)</f>
        <v>0</v>
      </c>
      <c r="C80" s="29">
        <f>IF(C85&gt;C73,C85,0)</f>
        <v>0</v>
      </c>
      <c r="D80" s="1">
        <f>IF(B80&lt;&gt;0,E79,0)</f>
        <v>0</v>
      </c>
      <c r="E80" s="1">
        <f>IF(C85&gt;C73,D73,0)</f>
        <v>0</v>
      </c>
      <c r="F80" s="81">
        <f>(C80-B80)*(D80+E80)/2</f>
        <v>0</v>
      </c>
      <c r="G80" s="27"/>
      <c r="H80" s="30">
        <v>4</v>
      </c>
      <c r="I80" s="29">
        <f>IF(C94&gt;C73,J79,0)</f>
        <v>0</v>
      </c>
      <c r="J80" s="29">
        <f>IF(C94&gt;C73,C94,0)</f>
        <v>0</v>
      </c>
      <c r="K80" s="1">
        <f>IF(I80&lt;&gt;0,L79,0)</f>
        <v>0</v>
      </c>
      <c r="L80" s="1">
        <f>IF(J80&gt;0,IF(C94&gt;=C73,J73,IF(AND(C94&gt;B73,C94&lt;C73),J73,0)),0)</f>
        <v>0</v>
      </c>
      <c r="M80" s="81">
        <f>(J80-I80)*(K80+L80)/2</f>
        <v>0</v>
      </c>
      <c r="O80" s="83">
        <v>4</v>
      </c>
      <c r="P80" s="82">
        <f>IF(C96&gt;C73,Q79,0)</f>
        <v>0</v>
      </c>
      <c r="Q80" s="82">
        <f>IF(C96&gt;C73,C96,0)</f>
        <v>0</v>
      </c>
      <c r="R80" s="1">
        <f>IF(P80&lt;&gt;0,S79,0)</f>
        <v>0</v>
      </c>
      <c r="S80" s="1">
        <f>IF(Q80&gt;0,IF(C96&gt;=C73,J73,IF(AND(C96&gt;B73,C96&lt;C73),J73,0)),0)</f>
        <v>0</v>
      </c>
      <c r="T80" s="81">
        <f>(Q80-P80)*(R80+S80)/2</f>
        <v>0</v>
      </c>
      <c r="V80" s="83">
        <v>4</v>
      </c>
      <c r="W80" s="82">
        <f>IF(C97&gt;C73,X79,0)</f>
        <v>0</v>
      </c>
      <c r="X80" s="82">
        <f>IF(R73&gt;C73,R73,IF(AND(R73&gt;C73,R73&lt;C73),R73,0))</f>
        <v>0</v>
      </c>
      <c r="Y80" s="1">
        <f>IF(W80&lt;&gt;0,MIN(D74,T73),0)</f>
        <v>0</v>
      </c>
      <c r="Z80" s="1">
        <f>IF(X80&gt;0,IF(X80&gt;=C73,T73,IF(AND(X80&gt;B73,X80&lt;C73),T73,0)),0)</f>
        <v>0</v>
      </c>
      <c r="AA80" s="81">
        <f>(X80-W80)*(Y80+Z80)/2</f>
        <v>0</v>
      </c>
      <c r="AC80" s="83">
        <v>4</v>
      </c>
      <c r="AD80" s="82">
        <f>IF(J97&gt;J73,AE79,0)</f>
        <v>0</v>
      </c>
      <c r="AE80" s="82">
        <f>IF(V73&gt;C73,V73,IF(AND(V73&gt;C73,V73&lt;C73),V73,0))</f>
        <v>0</v>
      </c>
      <c r="AF80" s="1">
        <f>IF(AD80&lt;&gt;0,MIN(D74,X73),0)</f>
        <v>0</v>
      </c>
      <c r="AG80" s="1">
        <f>IF(AE80&gt;0,IF(AE80&gt;=C73,X73,IF(AND(AE80&gt;B73,AE80&lt;C73),X73,0)),0)</f>
        <v>0</v>
      </c>
      <c r="AH80" s="81">
        <f>(AE80-AD80)*(AF80+AG80)/2</f>
        <v>0</v>
      </c>
    </row>
    <row r="81" spans="1:34" ht="15.75" thickBot="1" x14ac:dyDescent="0.3">
      <c r="A81" s="99"/>
      <c r="B81" s="98"/>
      <c r="C81" s="98"/>
      <c r="D81" s="196"/>
      <c r="E81" s="196"/>
      <c r="F81" s="78">
        <f>SUM(F77:F80)</f>
        <v>0</v>
      </c>
      <c r="G81" s="197"/>
      <c r="H81" s="99"/>
      <c r="I81" s="98"/>
      <c r="J81" s="98"/>
      <c r="K81" s="196"/>
      <c r="L81" s="196"/>
      <c r="M81" s="78">
        <f>SUM(M77:M80)</f>
        <v>1690</v>
      </c>
      <c r="O81" s="80"/>
      <c r="P81" s="79"/>
      <c r="Q81" s="79"/>
      <c r="R81" s="79"/>
      <c r="S81" s="79"/>
      <c r="T81" s="78">
        <f>SUM(T77:T80)</f>
        <v>1690</v>
      </c>
      <c r="V81" s="80"/>
      <c r="W81" s="79"/>
      <c r="X81" s="79"/>
      <c r="Y81" s="79"/>
      <c r="Z81" s="79"/>
      <c r="AA81" s="78">
        <f>SUM(AA77:AA80)</f>
        <v>560</v>
      </c>
      <c r="AC81" s="80"/>
      <c r="AD81" s="79"/>
      <c r="AE81" s="79"/>
      <c r="AF81" s="79"/>
      <c r="AG81" s="79"/>
      <c r="AH81" s="78">
        <f>SUM(AH77:AH80)</f>
        <v>560</v>
      </c>
    </row>
    <row r="82" spans="1:34" ht="15.75" thickBot="1" x14ac:dyDescent="0.3"/>
    <row r="83" spans="1:34" ht="15.75" thickBot="1" x14ac:dyDescent="0.3">
      <c r="A83" s="77" t="s">
        <v>29</v>
      </c>
      <c r="B83" s="55"/>
      <c r="C83" s="55"/>
      <c r="D83" s="55"/>
      <c r="E83" s="12"/>
      <c r="F83" s="156" t="s">
        <v>79</v>
      </c>
      <c r="G83" s="155"/>
      <c r="H83" s="155"/>
      <c r="I83" s="155"/>
      <c r="J83" s="156"/>
      <c r="K83" s="195"/>
      <c r="L83" s="194"/>
      <c r="M83" s="41" t="s">
        <v>91</v>
      </c>
      <c r="N83" s="40"/>
      <c r="O83" s="40"/>
      <c r="P83" s="40"/>
      <c r="Q83" s="41"/>
      <c r="R83" s="44"/>
      <c r="S83" s="72"/>
      <c r="T83" s="41" t="s">
        <v>78</v>
      </c>
      <c r="U83" s="40"/>
      <c r="V83" s="40"/>
      <c r="W83" s="40"/>
      <c r="X83" s="41"/>
      <c r="Y83" s="44"/>
      <c r="AA83" s="41" t="s">
        <v>77</v>
      </c>
      <c r="AB83" s="40"/>
      <c r="AC83" s="40"/>
      <c r="AD83" s="40"/>
      <c r="AE83" s="193"/>
    </row>
    <row r="84" spans="1:34" ht="15.75" thickBot="1" x14ac:dyDescent="0.3">
      <c r="A84" s="70" t="s">
        <v>76</v>
      </c>
      <c r="B84" s="192"/>
      <c r="C84" s="191"/>
      <c r="D84" s="191"/>
      <c r="E84" s="67"/>
      <c r="F84" s="156" t="s">
        <v>12</v>
      </c>
      <c r="G84" s="155"/>
      <c r="H84" s="155"/>
      <c r="I84" s="156"/>
      <c r="J84" s="190" t="s">
        <v>11</v>
      </c>
      <c r="K84" s="154"/>
      <c r="L84" s="147"/>
      <c r="M84" s="41" t="s">
        <v>12</v>
      </c>
      <c r="N84" s="40"/>
      <c r="O84" s="40"/>
      <c r="P84" s="41"/>
      <c r="Q84" s="40" t="s">
        <v>11</v>
      </c>
      <c r="R84" s="39"/>
      <c r="S84" s="5"/>
      <c r="T84" s="41" t="s">
        <v>12</v>
      </c>
      <c r="U84" s="40"/>
      <c r="V84" s="40"/>
      <c r="W84" s="41"/>
      <c r="X84" s="40" t="s">
        <v>11</v>
      </c>
      <c r="Y84" s="39"/>
      <c r="AA84" s="41" t="s">
        <v>12</v>
      </c>
      <c r="AB84" s="40"/>
      <c r="AC84" s="40"/>
      <c r="AD84" s="41"/>
      <c r="AE84" s="39" t="s">
        <v>11</v>
      </c>
    </row>
    <row r="85" spans="1:34" x14ac:dyDescent="0.25">
      <c r="A85" s="189" t="s">
        <v>75</v>
      </c>
      <c r="B85" s="188"/>
      <c r="C85" s="187">
        <v>0</v>
      </c>
      <c r="D85" s="186"/>
      <c r="E85">
        <v>0</v>
      </c>
      <c r="F85" s="185" t="s">
        <v>56</v>
      </c>
      <c r="G85" s="184"/>
      <c r="H85" s="184"/>
      <c r="I85" s="184"/>
      <c r="J85" s="85">
        <f>C85*C86</f>
        <v>0</v>
      </c>
      <c r="K85" s="183"/>
      <c r="L85" s="6"/>
      <c r="M85" s="151"/>
      <c r="N85" s="150"/>
      <c r="O85" s="150"/>
      <c r="P85" s="150"/>
      <c r="Q85" s="149"/>
      <c r="R85" s="148"/>
      <c r="S85" s="6"/>
      <c r="T85" s="151"/>
      <c r="U85" s="150"/>
      <c r="V85" s="150"/>
      <c r="W85" s="150"/>
      <c r="X85" s="149"/>
      <c r="Y85" s="148"/>
      <c r="AA85" s="151"/>
      <c r="AB85" s="150"/>
      <c r="AC85" s="150"/>
      <c r="AD85" s="150"/>
      <c r="AE85" s="182"/>
    </row>
    <row r="86" spans="1:34" x14ac:dyDescent="0.25">
      <c r="A86" s="181" t="s">
        <v>26</v>
      </c>
      <c r="B86" s="180"/>
      <c r="C86" s="179">
        <v>0</v>
      </c>
      <c r="D86" s="178"/>
      <c r="F86" s="47" t="str">
        <f>" "</f>
        <v xml:space="preserve"> </v>
      </c>
      <c r="G86" s="63"/>
      <c r="H86" s="63"/>
      <c r="I86" s="63"/>
      <c r="J86" s="1"/>
      <c r="K86" s="167"/>
      <c r="L86" s="6"/>
      <c r="M86" s="36" t="s">
        <v>74</v>
      </c>
      <c r="N86" s="19"/>
      <c r="O86" s="19"/>
      <c r="P86" s="19"/>
      <c r="Q86" s="18">
        <f>C104*C105*C112</f>
        <v>450</v>
      </c>
      <c r="R86" s="17"/>
      <c r="S86" s="3"/>
      <c r="T86" s="36" t="s">
        <v>74</v>
      </c>
      <c r="U86" s="19"/>
      <c r="V86" s="19"/>
      <c r="W86" s="19"/>
      <c r="X86" s="18">
        <f>C104*C105*C109</f>
        <v>425</v>
      </c>
      <c r="Y86" s="17"/>
      <c r="AA86" s="135" t="s">
        <v>73</v>
      </c>
      <c r="AB86" s="19"/>
      <c r="AC86" s="19"/>
      <c r="AD86" s="19"/>
      <c r="AE86" s="166">
        <f>J85</f>
        <v>0</v>
      </c>
    </row>
    <row r="87" spans="1:34" x14ac:dyDescent="0.25">
      <c r="A87" s="181" t="s">
        <v>23</v>
      </c>
      <c r="B87" s="180"/>
      <c r="C87" s="179">
        <v>0</v>
      </c>
      <c r="D87" s="178"/>
      <c r="F87" s="130" t="str">
        <f>"DA Incremental Cost @ "&amp;C85&amp;" MW"</f>
        <v>DA Incremental Cost @ 0 MW</v>
      </c>
      <c r="G87" s="129"/>
      <c r="H87" s="129"/>
      <c r="I87" s="129"/>
      <c r="J87" s="1">
        <f>F81</f>
        <v>0</v>
      </c>
      <c r="K87" s="167"/>
      <c r="L87" s="6"/>
      <c r="M87" s="36"/>
      <c r="N87" s="35"/>
      <c r="O87" s="35"/>
      <c r="P87" s="35"/>
      <c r="Q87" s="18"/>
      <c r="R87" s="17"/>
      <c r="S87" s="6"/>
      <c r="T87" s="36"/>
      <c r="U87" s="35"/>
      <c r="V87" s="35"/>
      <c r="W87" s="35"/>
      <c r="X87" s="18"/>
      <c r="Y87" s="17"/>
      <c r="AA87" s="36"/>
      <c r="AB87" s="35"/>
      <c r="AC87" s="35"/>
      <c r="AD87" s="35"/>
      <c r="AE87" s="166"/>
    </row>
    <row r="88" spans="1:34" x14ac:dyDescent="0.25">
      <c r="A88" s="181" t="s">
        <v>22</v>
      </c>
      <c r="B88" s="180"/>
      <c r="C88" s="179">
        <v>0</v>
      </c>
      <c r="D88" s="178"/>
      <c r="E88" s="54"/>
      <c r="F88" s="130" t="s">
        <v>72</v>
      </c>
      <c r="G88" s="129"/>
      <c r="H88" s="129"/>
      <c r="I88" s="129"/>
      <c r="J88" s="1">
        <f>C88</f>
        <v>0</v>
      </c>
      <c r="K88" s="167"/>
      <c r="L88" s="6"/>
      <c r="M88" s="135" t="s">
        <v>51</v>
      </c>
      <c r="N88" s="19"/>
      <c r="O88" s="19"/>
      <c r="P88" s="19"/>
      <c r="Q88" s="18"/>
      <c r="R88" s="17"/>
      <c r="S88" s="6"/>
      <c r="T88" s="135" t="s">
        <v>51</v>
      </c>
      <c r="U88" s="19"/>
      <c r="V88" s="19"/>
      <c r="W88" s="19"/>
      <c r="X88" s="18"/>
      <c r="Y88" s="17"/>
      <c r="AA88" s="135" t="s">
        <v>71</v>
      </c>
      <c r="AB88" s="19"/>
      <c r="AC88" s="19"/>
      <c r="AD88" s="19"/>
      <c r="AE88" s="166">
        <f>Q103</f>
        <v>3200</v>
      </c>
    </row>
    <row r="89" spans="1:34" x14ac:dyDescent="0.25">
      <c r="A89" s="177" t="s">
        <v>70</v>
      </c>
      <c r="B89" s="176"/>
      <c r="C89" s="175">
        <v>50</v>
      </c>
      <c r="D89" s="174"/>
      <c r="F89" s="130" t="s">
        <v>69</v>
      </c>
      <c r="G89" s="129"/>
      <c r="H89" s="129"/>
      <c r="I89" s="129"/>
      <c r="J89" s="1">
        <f>C87</f>
        <v>0</v>
      </c>
      <c r="K89" s="167"/>
      <c r="L89" s="6"/>
      <c r="M89" s="36" t="s">
        <v>68</v>
      </c>
      <c r="N89" s="35"/>
      <c r="O89" s="35"/>
      <c r="P89" s="35"/>
      <c r="Q89" s="18">
        <f>ABS(AA81-(MAX(R66:R73)-MAX(Q66:Q73))*C95)/C112*C112</f>
        <v>240.00000000000003</v>
      </c>
      <c r="R89" s="17"/>
      <c r="S89" s="3"/>
      <c r="T89" s="36" t="s">
        <v>68</v>
      </c>
      <c r="U89" s="35"/>
      <c r="V89" s="35"/>
      <c r="W89" s="35"/>
      <c r="X89" s="18">
        <f>ABS(AH81-(MAX(V66:V73)-MAX(U66:U73))*C95)/C112*C109</f>
        <v>226.66666666666669</v>
      </c>
      <c r="Y89" s="17"/>
      <c r="AA89" s="36"/>
      <c r="AB89" s="35"/>
      <c r="AC89" s="35"/>
      <c r="AD89" s="35"/>
      <c r="AE89" s="166"/>
    </row>
    <row r="90" spans="1:34" ht="15.75" thickBot="1" x14ac:dyDescent="0.3">
      <c r="A90" s="173" t="s">
        <v>67</v>
      </c>
      <c r="B90" s="172"/>
      <c r="C90" s="171">
        <v>100</v>
      </c>
      <c r="D90" s="170"/>
      <c r="F90" s="47" t="str">
        <f>" "</f>
        <v xml:space="preserve"> </v>
      </c>
      <c r="G90" s="63"/>
      <c r="H90" s="63"/>
      <c r="I90" s="63"/>
      <c r="J90" s="1"/>
      <c r="K90" s="167"/>
      <c r="L90" s="6"/>
      <c r="M90" s="20"/>
      <c r="N90" s="19"/>
      <c r="O90" s="19"/>
      <c r="P90" s="19"/>
      <c r="Q90" s="18"/>
      <c r="R90" s="17"/>
      <c r="S90" s="6"/>
      <c r="T90" s="20"/>
      <c r="U90" s="19"/>
      <c r="V90" s="19"/>
      <c r="W90" s="19"/>
      <c r="X90" s="18"/>
      <c r="Y90" s="17"/>
      <c r="AA90" s="20" t="s">
        <v>66</v>
      </c>
      <c r="AB90" s="19"/>
      <c r="AC90" s="19"/>
      <c r="AD90" s="19"/>
      <c r="AE90" s="169">
        <f>X93</f>
        <v>425</v>
      </c>
    </row>
    <row r="91" spans="1:34" x14ac:dyDescent="0.25">
      <c r="C91" s="54"/>
      <c r="D91" s="54"/>
      <c r="F91" s="130" t="s">
        <v>65</v>
      </c>
      <c r="G91" s="129"/>
      <c r="H91" s="129"/>
      <c r="I91" s="129"/>
      <c r="J91" s="133">
        <f>J85-J87-J88-J89</f>
        <v>0</v>
      </c>
      <c r="K91" s="168"/>
      <c r="L91" s="48"/>
      <c r="M91" s="36" t="s">
        <v>64</v>
      </c>
      <c r="N91" s="35"/>
      <c r="O91" s="35"/>
      <c r="P91" s="35"/>
      <c r="Q91" s="18">
        <f>MAX(Q88+Q89-Q86,0)</f>
        <v>0</v>
      </c>
      <c r="R91" s="17"/>
      <c r="S91" s="3"/>
      <c r="T91" s="36" t="s">
        <v>64</v>
      </c>
      <c r="U91" s="35"/>
      <c r="V91" s="35"/>
      <c r="W91" s="35"/>
      <c r="X91" s="18">
        <f>MAX(X88+X89-X86,0)</f>
        <v>0</v>
      </c>
      <c r="Y91" s="17"/>
      <c r="AA91" s="36"/>
      <c r="AB91" s="35"/>
      <c r="AC91" s="35"/>
      <c r="AD91" s="35"/>
      <c r="AE91" s="166"/>
    </row>
    <row r="92" spans="1:34" ht="15.75" thickBot="1" x14ac:dyDescent="0.3">
      <c r="A92" s="77" t="s">
        <v>29</v>
      </c>
      <c r="B92" s="55"/>
      <c r="C92" s="55"/>
      <c r="D92" s="55"/>
      <c r="E92" s="55"/>
      <c r="F92" s="47" t="str">
        <f>" "</f>
        <v xml:space="preserve"> </v>
      </c>
      <c r="G92" s="63"/>
      <c r="H92" s="63"/>
      <c r="I92" s="63"/>
      <c r="J92" s="1"/>
      <c r="K92" s="167"/>
      <c r="L92" s="6"/>
      <c r="M92" s="20"/>
      <c r="N92" s="19"/>
      <c r="O92" s="19"/>
      <c r="P92" s="19"/>
      <c r="Q92" s="18"/>
      <c r="R92" s="17"/>
      <c r="S92" s="6"/>
      <c r="T92" s="20"/>
      <c r="U92" s="19"/>
      <c r="V92" s="19"/>
      <c r="W92" s="19"/>
      <c r="X92" s="18"/>
      <c r="Y92" s="17"/>
      <c r="AA92" s="20"/>
      <c r="AB92" s="19"/>
      <c r="AC92" s="19"/>
      <c r="AD92" s="19"/>
      <c r="AE92" s="166"/>
    </row>
    <row r="93" spans="1:34" ht="15.75" thickBot="1" x14ac:dyDescent="0.3">
      <c r="A93" s="70" t="s">
        <v>28</v>
      </c>
      <c r="B93" s="69"/>
      <c r="C93" s="68"/>
      <c r="D93" s="68"/>
      <c r="E93" s="54"/>
      <c r="F93" s="130" t="s">
        <v>54</v>
      </c>
      <c r="G93" s="129"/>
      <c r="H93" s="129"/>
      <c r="I93" s="129"/>
      <c r="J93" s="126">
        <f>MAX(J91*-1,0)</f>
        <v>0</v>
      </c>
      <c r="K93" s="165"/>
      <c r="L93" s="48"/>
      <c r="M93" s="36" t="s">
        <v>63</v>
      </c>
      <c r="N93" s="35"/>
      <c r="O93" s="35"/>
      <c r="P93" s="35"/>
      <c r="Q93" s="164">
        <f>Q86+Q91</f>
        <v>450</v>
      </c>
      <c r="R93" s="163"/>
      <c r="S93" s="3"/>
      <c r="T93" s="36" t="s">
        <v>63</v>
      </c>
      <c r="U93" s="35"/>
      <c r="V93" s="35"/>
      <c r="W93" s="35"/>
      <c r="X93" s="164">
        <f>X86+X91</f>
        <v>425</v>
      </c>
      <c r="Y93" s="163"/>
      <c r="AA93" s="36" t="s">
        <v>55</v>
      </c>
      <c r="AB93" s="35"/>
      <c r="AC93" s="35"/>
      <c r="AD93" s="35"/>
      <c r="AE93" s="162">
        <f>AE86+AE88+AE90-AE92</f>
        <v>3625</v>
      </c>
    </row>
    <row r="94" spans="1:34" ht="16.5" thickTop="1" thickBot="1" x14ac:dyDescent="0.3">
      <c r="A94" s="47" t="s">
        <v>27</v>
      </c>
      <c r="B94" s="28"/>
      <c r="C94" s="60">
        <v>80</v>
      </c>
      <c r="D94" s="27"/>
      <c r="F94" s="59" t="str">
        <f>" "</f>
        <v xml:space="preserve"> </v>
      </c>
      <c r="G94" s="108"/>
      <c r="H94" s="108"/>
      <c r="I94" s="108"/>
      <c r="J94" s="23"/>
      <c r="K94" s="161"/>
      <c r="L94" s="6"/>
      <c r="M94" s="10" t="s">
        <v>92</v>
      </c>
      <c r="N94" s="9"/>
      <c r="O94" s="9"/>
      <c r="P94" s="9"/>
      <c r="Q94" s="8">
        <f>MAX(Q86-Q89,0)</f>
        <v>209.99999999999997</v>
      </c>
      <c r="R94" s="7"/>
      <c r="S94" s="6"/>
      <c r="T94" s="10" t="s">
        <v>92</v>
      </c>
      <c r="U94" s="9"/>
      <c r="V94" s="9"/>
      <c r="W94" s="9"/>
      <c r="X94" s="8">
        <f>X86-X89</f>
        <v>198.33333333333331</v>
      </c>
      <c r="Y94" s="7"/>
      <c r="AA94" s="10" t="str">
        <f>" "</f>
        <v xml:space="preserve"> </v>
      </c>
      <c r="AB94" s="9"/>
      <c r="AC94" s="9"/>
      <c r="AD94" s="9"/>
      <c r="AE94" s="160"/>
    </row>
    <row r="95" spans="1:34" x14ac:dyDescent="0.25">
      <c r="A95" s="30" t="s">
        <v>26</v>
      </c>
      <c r="B95" s="66"/>
      <c r="C95" s="1">
        <v>40</v>
      </c>
      <c r="D95" s="61"/>
      <c r="F95" s="50"/>
      <c r="G95" s="49"/>
      <c r="H95" s="49"/>
      <c r="I95" s="49"/>
      <c r="J95" s="48"/>
      <c r="K95" s="6"/>
      <c r="L95" s="6"/>
      <c r="M95" s="6"/>
      <c r="N95" s="6"/>
      <c r="O95" s="6"/>
      <c r="P95" s="6" t="s">
        <v>94</v>
      </c>
      <c r="Q95" s="48"/>
      <c r="R95" s="6"/>
      <c r="S95" s="6"/>
      <c r="T95" s="6"/>
      <c r="U95" s="6"/>
    </row>
    <row r="96" spans="1:34" ht="15.75" thickBot="1" x14ac:dyDescent="0.3">
      <c r="A96" s="63" t="s">
        <v>25</v>
      </c>
      <c r="B96" s="28"/>
      <c r="C96" s="60">
        <v>80</v>
      </c>
      <c r="D96" s="27"/>
      <c r="F96" s="159" t="s">
        <v>62</v>
      </c>
      <c r="G96" s="159"/>
      <c r="H96" s="159"/>
      <c r="I96" s="159"/>
      <c r="J96" s="159"/>
      <c r="K96" s="159"/>
      <c r="L96" s="158"/>
      <c r="M96" s="45" t="s">
        <v>61</v>
      </c>
      <c r="N96" s="45"/>
      <c r="O96" s="45"/>
      <c r="P96" s="45"/>
      <c r="Q96" s="55"/>
      <c r="R96" s="55"/>
      <c r="T96" s="230" t="s">
        <v>60</v>
      </c>
      <c r="U96" s="230"/>
      <c r="V96" s="230"/>
      <c r="W96" s="230"/>
      <c r="X96" s="231"/>
      <c r="Y96" s="231"/>
      <c r="AA96" s="29"/>
      <c r="AB96" s="45"/>
      <c r="AC96" s="45"/>
    </row>
    <row r="97" spans="1:33" ht="15.75" thickBot="1" x14ac:dyDescent="0.3">
      <c r="A97" s="63" t="s">
        <v>108</v>
      </c>
      <c r="B97" s="28"/>
      <c r="C97" s="60">
        <v>100</v>
      </c>
      <c r="D97" s="27"/>
      <c r="F97" s="156" t="s">
        <v>59</v>
      </c>
      <c r="G97" s="155"/>
      <c r="H97" s="155"/>
      <c r="I97" s="155"/>
      <c r="J97" s="157"/>
      <c r="K97" s="157"/>
      <c r="L97" s="5"/>
      <c r="M97" s="156" t="s">
        <v>58</v>
      </c>
      <c r="N97" s="155"/>
      <c r="O97" s="155"/>
      <c r="P97" s="155"/>
      <c r="Q97" s="157"/>
      <c r="R97" s="157"/>
      <c r="T97" s="41" t="s">
        <v>113</v>
      </c>
      <c r="U97" s="40"/>
      <c r="V97" s="40"/>
      <c r="W97" s="40"/>
      <c r="X97" s="39"/>
      <c r="Y97" s="39"/>
      <c r="AA97" s="63"/>
      <c r="AB97" s="41" t="s">
        <v>57</v>
      </c>
      <c r="AC97" s="40"/>
      <c r="AD97" s="40"/>
      <c r="AE97" s="40"/>
      <c r="AF97" s="41"/>
      <c r="AG97" s="44"/>
    </row>
    <row r="98" spans="1:33" ht="15.75" thickBot="1" x14ac:dyDescent="0.3">
      <c r="A98" s="30" t="s">
        <v>23</v>
      </c>
      <c r="B98" s="29"/>
      <c r="C98" s="1">
        <v>0</v>
      </c>
      <c r="D98" s="61"/>
      <c r="F98" s="59" t="s">
        <v>12</v>
      </c>
      <c r="G98" s="108"/>
      <c r="H98" s="156"/>
      <c r="I98" s="155"/>
      <c r="J98" s="154" t="s">
        <v>11</v>
      </c>
      <c r="K98" s="154"/>
      <c r="L98" s="6"/>
      <c r="M98" s="59" t="s">
        <v>12</v>
      </c>
      <c r="N98" s="108"/>
      <c r="O98" s="156"/>
      <c r="P98" s="155"/>
      <c r="Q98" s="154" t="s">
        <v>11</v>
      </c>
      <c r="R98" s="154"/>
      <c r="T98" s="10" t="s">
        <v>12</v>
      </c>
      <c r="U98" s="9"/>
      <c r="V98" s="41"/>
      <c r="W98" s="40"/>
      <c r="X98" s="39" t="s">
        <v>11</v>
      </c>
      <c r="Y98" s="39"/>
      <c r="AA98" s="63"/>
      <c r="AB98" s="41" t="s">
        <v>12</v>
      </c>
      <c r="AC98" s="40"/>
      <c r="AD98" s="40"/>
      <c r="AE98" s="41"/>
      <c r="AF98" s="40" t="s">
        <v>11</v>
      </c>
      <c r="AG98" s="39"/>
    </row>
    <row r="99" spans="1:33" x14ac:dyDescent="0.25">
      <c r="A99" s="62" t="s">
        <v>22</v>
      </c>
      <c r="B99" s="29"/>
      <c r="C99" s="1">
        <v>0</v>
      </c>
      <c r="D99" s="61"/>
      <c r="F99" s="153" t="s">
        <v>56</v>
      </c>
      <c r="G99" s="52"/>
      <c r="H99" s="52"/>
      <c r="I99" s="52"/>
      <c r="J99" s="85">
        <f>J85</f>
        <v>0</v>
      </c>
      <c r="K99" s="152"/>
      <c r="L99" s="3"/>
      <c r="M99" s="153" t="s">
        <v>56</v>
      </c>
      <c r="N99" s="52"/>
      <c r="O99" s="52"/>
      <c r="P99" s="52"/>
      <c r="Q99" s="85">
        <f>J85</f>
        <v>0</v>
      </c>
      <c r="R99" s="152"/>
      <c r="T99" s="219" t="s">
        <v>56</v>
      </c>
      <c r="U99" s="220"/>
      <c r="V99" s="220"/>
      <c r="W99" s="220"/>
      <c r="X99" s="149">
        <f>J85</f>
        <v>0</v>
      </c>
      <c r="Y99" s="221"/>
      <c r="AA99" s="28"/>
      <c r="AB99" s="151"/>
      <c r="AC99" s="150"/>
      <c r="AD99" s="150"/>
      <c r="AE99" s="150"/>
      <c r="AF99" s="149"/>
      <c r="AG99" s="148"/>
    </row>
    <row r="100" spans="1:33" x14ac:dyDescent="0.25">
      <c r="A100" s="47" t="s">
        <v>21</v>
      </c>
      <c r="B100" s="28"/>
      <c r="C100" s="60">
        <v>50</v>
      </c>
      <c r="D100" s="27"/>
      <c r="F100" s="47" t="str">
        <f>" "</f>
        <v xml:space="preserve"> </v>
      </c>
      <c r="G100" s="63"/>
      <c r="H100" s="63"/>
      <c r="I100" s="63"/>
      <c r="J100" s="1"/>
      <c r="K100" s="131"/>
      <c r="L100" s="6"/>
      <c r="M100" s="47" t="str">
        <f>" "</f>
        <v xml:space="preserve"> </v>
      </c>
      <c r="N100" s="63"/>
      <c r="O100" s="63"/>
      <c r="P100" s="63"/>
      <c r="Q100" s="1"/>
      <c r="R100" s="131"/>
      <c r="T100" s="20" t="str">
        <f>" "</f>
        <v xml:space="preserve"> </v>
      </c>
      <c r="U100" s="19"/>
      <c r="V100" s="19"/>
      <c r="W100" s="19"/>
      <c r="X100" s="18"/>
      <c r="Y100" s="222"/>
      <c r="AA100" s="63"/>
      <c r="AB100" s="20" t="s">
        <v>55</v>
      </c>
      <c r="AC100" s="19"/>
      <c r="AD100" s="19"/>
      <c r="AE100" s="19"/>
      <c r="AF100" s="18">
        <f>AE93</f>
        <v>3625</v>
      </c>
      <c r="AG100" s="17"/>
    </row>
    <row r="101" spans="1:33" ht="15.75" thickBot="1" x14ac:dyDescent="0.3">
      <c r="A101" s="59" t="s">
        <v>20</v>
      </c>
      <c r="B101" s="58"/>
      <c r="C101" s="57">
        <v>100</v>
      </c>
      <c r="D101" s="56"/>
      <c r="F101" s="130" t="s">
        <v>54</v>
      </c>
      <c r="G101" s="129"/>
      <c r="H101" s="129"/>
      <c r="I101" s="129"/>
      <c r="J101" s="1">
        <f>J93</f>
        <v>0</v>
      </c>
      <c r="K101" s="131"/>
      <c r="L101" s="3"/>
      <c r="M101" s="130" t="s">
        <v>54</v>
      </c>
      <c r="N101" s="129"/>
      <c r="O101" s="129"/>
      <c r="P101" s="129"/>
      <c r="Q101" s="1">
        <f>J93</f>
        <v>0</v>
      </c>
      <c r="R101" s="131"/>
      <c r="T101" s="36" t="s">
        <v>54</v>
      </c>
      <c r="U101" s="35"/>
      <c r="V101" s="35"/>
      <c r="W101" s="35"/>
      <c r="X101" s="18">
        <f>J93</f>
        <v>0</v>
      </c>
      <c r="Y101" s="222"/>
      <c r="AA101" s="129"/>
      <c r="AB101" s="36"/>
      <c r="AC101" s="35"/>
      <c r="AD101" s="35"/>
      <c r="AE101" s="35"/>
      <c r="AF101" s="18"/>
      <c r="AG101" s="17"/>
    </row>
    <row r="102" spans="1:33" x14ac:dyDescent="0.25">
      <c r="F102" s="47" t="str">
        <f>" "</f>
        <v xml:space="preserve"> </v>
      </c>
      <c r="G102" s="63"/>
      <c r="H102" s="63"/>
      <c r="I102" s="63"/>
      <c r="J102" s="1"/>
      <c r="K102" s="131"/>
      <c r="L102" s="147"/>
      <c r="M102" s="47" t="str">
        <f>" "</f>
        <v xml:space="preserve"> </v>
      </c>
      <c r="N102" s="63"/>
      <c r="O102" s="63"/>
      <c r="P102" s="63"/>
      <c r="Q102" s="1"/>
      <c r="R102" s="131"/>
      <c r="T102" s="20" t="str">
        <f>" "</f>
        <v xml:space="preserve"> </v>
      </c>
      <c r="U102" s="19"/>
      <c r="V102" s="19"/>
      <c r="W102" s="19"/>
      <c r="X102" s="18"/>
      <c r="Y102" s="222"/>
      <c r="AA102" s="63"/>
      <c r="AB102" s="135" t="str">
        <f>"RT Incremental Cost @ "&amp;C94&amp;" MW"</f>
        <v>RT Incremental Cost @ 80 MW</v>
      </c>
      <c r="AC102" s="19"/>
      <c r="AD102" s="19"/>
      <c r="AE102" s="19"/>
      <c r="AF102" s="18">
        <f>Q108</f>
        <v>1690</v>
      </c>
      <c r="AG102" s="17"/>
    </row>
    <row r="103" spans="1:33" ht="30" x14ac:dyDescent="0.25">
      <c r="A103" t="s">
        <v>19</v>
      </c>
      <c r="F103" s="130" t="s">
        <v>53</v>
      </c>
      <c r="G103" s="129"/>
      <c r="H103" s="129"/>
      <c r="I103" s="129"/>
      <c r="J103" s="1">
        <f>(C96-C85)*C95</f>
        <v>3200</v>
      </c>
      <c r="K103" s="131"/>
      <c r="L103" s="4"/>
      <c r="M103" s="130" t="s">
        <v>52</v>
      </c>
      <c r="N103" s="129"/>
      <c r="O103" s="129"/>
      <c r="P103" s="129"/>
      <c r="Q103" s="1">
        <f>(C94-C85)*C95</f>
        <v>3200</v>
      </c>
      <c r="R103" s="131"/>
      <c r="T103" s="36" t="s">
        <v>111</v>
      </c>
      <c r="U103" s="35"/>
      <c r="V103" s="35"/>
      <c r="W103" s="35"/>
      <c r="X103" s="18">
        <f>(C97-C85)*C95</f>
        <v>4000</v>
      </c>
      <c r="Y103" s="222"/>
      <c r="AA103" s="129"/>
      <c r="AB103" s="36" t="s">
        <v>49</v>
      </c>
      <c r="AC103" s="35"/>
      <c r="AD103" s="35"/>
      <c r="AE103" s="35"/>
      <c r="AF103" s="18">
        <f>Q109</f>
        <v>0</v>
      </c>
      <c r="AG103" s="17"/>
    </row>
    <row r="104" spans="1:33" x14ac:dyDescent="0.25">
      <c r="A104" t="s">
        <v>18</v>
      </c>
      <c r="C104" s="55">
        <v>20</v>
      </c>
      <c r="D104" s="55"/>
      <c r="F104" s="209" t="str">
        <f>"Company Responsible Losses @ "&amp;IF(AND(C101&lt;C90,C85&gt;0),MAX(C85-MAX(C101,C97),0),0)&amp;" MW"</f>
        <v>Company Responsible Losses @ 0 MW</v>
      </c>
      <c r="G104" s="63"/>
      <c r="H104" s="63"/>
      <c r="I104" s="63"/>
      <c r="J104" s="1">
        <f>IF(AND(C101&lt;C90,C85&gt;0),MAX(C85-MAX(C97,C101),0)*MIN(C86-C95,0),0)</f>
        <v>0</v>
      </c>
      <c r="K104" s="131"/>
      <c r="L104" s="137"/>
      <c r="Q104" s="1">
        <f>Q88</f>
        <v>0</v>
      </c>
      <c r="R104" s="131"/>
      <c r="T104" s="135" t="str">
        <f>"Company Responsible Losses @ "&amp;IF(AND(C101&lt;C90,C85&gt;0),MAX(C85-MAX(C101,C97),0),0)&amp;" MW"</f>
        <v>Company Responsible Losses @ 0 MW</v>
      </c>
      <c r="U104" s="223"/>
      <c r="V104" s="223"/>
      <c r="W104" s="223"/>
      <c r="X104" s="18">
        <f>IF(AND(C101&lt;C90,C85&gt;0),MAX(C85-MAX(C97,C101),0)*MIN(C86-C95,0),0)</f>
        <v>0</v>
      </c>
      <c r="Y104" s="222"/>
      <c r="AA104" s="2"/>
      <c r="AB104" s="135" t="s">
        <v>47</v>
      </c>
      <c r="AC104" s="19"/>
      <c r="AD104" s="19"/>
      <c r="AE104" s="19"/>
      <c r="AF104" s="146">
        <f>Q110</f>
        <v>0</v>
      </c>
      <c r="AG104" s="145"/>
    </row>
    <row r="105" spans="1:33" x14ac:dyDescent="0.25">
      <c r="A105" s="144" t="s">
        <v>17</v>
      </c>
      <c r="B105" s="143"/>
      <c r="C105" s="1">
        <v>25</v>
      </c>
      <c r="D105" s="55"/>
      <c r="F105" s="142" t="s">
        <v>51</v>
      </c>
      <c r="G105" s="141"/>
      <c r="H105" s="141"/>
      <c r="I105" s="141"/>
      <c r="J105" s="140">
        <f>Q89</f>
        <v>240.00000000000003</v>
      </c>
      <c r="K105" s="139"/>
      <c r="L105" s="137"/>
      <c r="M105" s="142" t="s">
        <v>51</v>
      </c>
      <c r="N105" s="141"/>
      <c r="O105" s="141"/>
      <c r="P105" s="141"/>
      <c r="Q105" s="140">
        <f>X89</f>
        <v>226.66666666666669</v>
      </c>
      <c r="R105" s="139"/>
      <c r="T105" s="20"/>
      <c r="U105" s="19"/>
      <c r="V105" s="19"/>
      <c r="W105" s="19"/>
      <c r="X105" s="18"/>
      <c r="Y105" s="222"/>
      <c r="AA105" s="129"/>
      <c r="AB105" s="36"/>
      <c r="AC105" s="35"/>
      <c r="AD105" s="35"/>
      <c r="AE105" s="35"/>
      <c r="AF105" s="18"/>
      <c r="AG105" s="17"/>
    </row>
    <row r="106" spans="1:33" x14ac:dyDescent="0.25">
      <c r="A106" s="115" t="s">
        <v>16</v>
      </c>
      <c r="C106" s="55">
        <v>0</v>
      </c>
      <c r="D106" s="55"/>
      <c r="F106" s="47"/>
      <c r="G106" s="63"/>
      <c r="H106" s="63"/>
      <c r="I106" s="63"/>
      <c r="J106" s="1"/>
      <c r="K106" s="131"/>
      <c r="L106" s="137"/>
      <c r="M106" s="136"/>
      <c r="N106" s="2"/>
      <c r="O106" s="2"/>
      <c r="P106" s="2"/>
      <c r="Q106" s="1"/>
      <c r="R106" s="131"/>
      <c r="T106" s="20"/>
      <c r="U106" s="19"/>
      <c r="V106" s="19"/>
      <c r="W106" s="19"/>
      <c r="X106" s="18"/>
      <c r="Y106" s="222"/>
      <c r="AA106" s="129"/>
      <c r="AB106" s="135" t="s">
        <v>50</v>
      </c>
      <c r="AC106" s="19"/>
      <c r="AD106" s="19"/>
      <c r="AE106" s="19"/>
      <c r="AF106" s="18">
        <f>AF100-AF102-AF103-AF104</f>
        <v>1935</v>
      </c>
      <c r="AG106" s="17"/>
    </row>
    <row r="107" spans="1:33" x14ac:dyDescent="0.25">
      <c r="A107" s="115" t="s">
        <v>14</v>
      </c>
      <c r="B107" s="120"/>
      <c r="C107" s="55">
        <v>100</v>
      </c>
      <c r="D107" s="55"/>
      <c r="E107" s="138"/>
      <c r="F107" s="47"/>
      <c r="G107" s="63"/>
      <c r="H107" s="63"/>
      <c r="I107" s="63"/>
      <c r="J107" s="1"/>
      <c r="K107" s="131"/>
      <c r="L107" s="137"/>
      <c r="M107" s="136"/>
      <c r="N107" s="2"/>
      <c r="O107" s="2"/>
      <c r="P107" s="2"/>
      <c r="Q107" s="1"/>
      <c r="R107" s="131"/>
      <c r="T107" s="20"/>
      <c r="U107" s="19"/>
      <c r="V107" s="19"/>
      <c r="W107" s="19"/>
      <c r="X107" s="18"/>
      <c r="Y107" s="222"/>
      <c r="AA107" s="129"/>
      <c r="AB107" s="135"/>
      <c r="AC107" s="19"/>
      <c r="AD107" s="19"/>
      <c r="AE107" s="19"/>
      <c r="AF107" s="18"/>
      <c r="AG107" s="17"/>
    </row>
    <row r="108" spans="1:33" ht="15.75" thickBot="1" x14ac:dyDescent="0.3">
      <c r="A108" s="115" t="s">
        <v>13</v>
      </c>
      <c r="B108" s="120"/>
      <c r="C108" s="55">
        <v>50</v>
      </c>
      <c r="D108" s="55"/>
      <c r="F108" s="130" t="str">
        <f>"RT Incremental Cost @ "&amp;C96&amp;" MW"</f>
        <v>RT Incremental Cost @ 80 MW</v>
      </c>
      <c r="G108" s="129"/>
      <c r="H108" s="129"/>
      <c r="I108" s="129"/>
      <c r="J108" s="1">
        <f>T81</f>
        <v>1690</v>
      </c>
      <c r="K108" s="131"/>
      <c r="L108" s="134"/>
      <c r="M108" s="130" t="str">
        <f>"RT Incremental Cost @ "&amp;C94&amp;" MW"</f>
        <v>RT Incremental Cost @ 80 MW</v>
      </c>
      <c r="N108" s="129"/>
      <c r="O108" s="129"/>
      <c r="P108" s="129"/>
      <c r="Q108" s="1">
        <f>M81</f>
        <v>1690</v>
      </c>
      <c r="R108" s="131"/>
      <c r="T108" s="36" t="str">
        <f>"RT Incremental Cost @ "&amp;C97&amp;" MW"</f>
        <v>RT Incremental Cost @ 100 MW</v>
      </c>
      <c r="U108" s="35"/>
      <c r="V108" s="35"/>
      <c r="W108" s="35"/>
      <c r="X108" s="18">
        <v>2250</v>
      </c>
      <c r="Y108" s="222"/>
      <c r="AA108" s="63"/>
      <c r="AB108" s="10" t="s">
        <v>93</v>
      </c>
      <c r="AC108" s="9"/>
      <c r="AD108" s="9"/>
      <c r="AE108" s="9"/>
      <c r="AF108" s="8">
        <f>AF106-X94</f>
        <v>1736.6666666666667</v>
      </c>
      <c r="AG108" s="7"/>
    </row>
    <row r="109" spans="1:33" x14ac:dyDescent="0.25">
      <c r="A109" s="115" t="s">
        <v>10</v>
      </c>
      <c r="B109" s="120"/>
      <c r="C109" s="55">
        <v>0.85</v>
      </c>
      <c r="D109" s="55"/>
      <c r="F109" s="130" t="s">
        <v>49</v>
      </c>
      <c r="G109" s="129"/>
      <c r="H109" s="129"/>
      <c r="I109" s="129"/>
      <c r="J109" s="1">
        <f>C99</f>
        <v>0</v>
      </c>
      <c r="K109" s="131"/>
      <c r="L109" s="6"/>
      <c r="M109" s="130" t="s">
        <v>49</v>
      </c>
      <c r="N109" s="129"/>
      <c r="O109" s="129"/>
      <c r="P109" s="129"/>
      <c r="Q109" s="1">
        <f>C99</f>
        <v>0</v>
      </c>
      <c r="R109" s="131"/>
      <c r="T109" s="36" t="s">
        <v>49</v>
      </c>
      <c r="U109" s="35"/>
      <c r="V109" s="35"/>
      <c r="W109" s="35"/>
      <c r="X109" s="18">
        <f>C99</f>
        <v>0</v>
      </c>
      <c r="Y109" s="222"/>
      <c r="AA109" s="127"/>
      <c r="AB109" s="127"/>
      <c r="AC109" s="127"/>
    </row>
    <row r="110" spans="1:33" x14ac:dyDescent="0.25">
      <c r="A110" s="115" t="s">
        <v>48</v>
      </c>
      <c r="C110" s="55">
        <f>IF(C108+C104&gt;C97,MIN((1+C106)*C104+C108,C94),IF(AND(C108+C104&lt;=C97,C107-C104&gt;=C97),IF(C106&gt;0,MIN(C106*C104+C97,C94),MAX(C106*C104+C97,C94)),MAX(C107-(1-C106)*C104,C94)))</f>
        <v>80</v>
      </c>
      <c r="D110" s="55"/>
      <c r="F110" s="130" t="s">
        <v>47</v>
      </c>
      <c r="G110" s="129"/>
      <c r="H110" s="129"/>
      <c r="I110" s="129"/>
      <c r="J110" s="1">
        <f>C98</f>
        <v>0</v>
      </c>
      <c r="K110" s="131"/>
      <c r="L110" s="6"/>
      <c r="M110" s="130" t="s">
        <v>47</v>
      </c>
      <c r="N110" s="129"/>
      <c r="O110" s="129"/>
      <c r="P110" s="129"/>
      <c r="Q110" s="1">
        <f>C98</f>
        <v>0</v>
      </c>
      <c r="R110" s="131"/>
      <c r="T110" s="36" t="s">
        <v>47</v>
      </c>
      <c r="U110" s="35"/>
      <c r="V110" s="35"/>
      <c r="W110" s="35"/>
      <c r="X110" s="18">
        <f>C98</f>
        <v>0</v>
      </c>
      <c r="Y110" s="222"/>
      <c r="AA110" s="63"/>
      <c r="AB110" s="63"/>
      <c r="AC110" s="63"/>
    </row>
    <row r="111" spans="1:33" x14ac:dyDescent="0.25">
      <c r="A111" s="115" t="s">
        <v>7</v>
      </c>
      <c r="C111" s="1">
        <v>0</v>
      </c>
      <c r="D111" s="55"/>
      <c r="F111" s="47" t="str">
        <f>" "</f>
        <v xml:space="preserve"> </v>
      </c>
      <c r="G111" s="63"/>
      <c r="H111" s="63"/>
      <c r="I111" s="63"/>
      <c r="J111" s="1"/>
      <c r="K111" s="131"/>
      <c r="M111" s="47" t="str">
        <f>" "</f>
        <v xml:space="preserve"> </v>
      </c>
      <c r="N111" s="63"/>
      <c r="O111" s="63"/>
      <c r="P111" s="63"/>
      <c r="Q111" s="1"/>
      <c r="R111" s="131"/>
      <c r="T111" s="20" t="str">
        <f>" "</f>
        <v xml:space="preserve"> </v>
      </c>
      <c r="U111" s="19"/>
      <c r="V111" s="19"/>
      <c r="W111" s="19"/>
      <c r="X111" s="18"/>
      <c r="Y111" s="222"/>
      <c r="AA111" s="127"/>
      <c r="AB111" s="127"/>
      <c r="AC111" s="127"/>
      <c r="AE111" s="120"/>
    </row>
    <row r="112" spans="1:33" x14ac:dyDescent="0.25">
      <c r="A112" s="115" t="s">
        <v>5</v>
      </c>
      <c r="C112" s="55">
        <v>0.9</v>
      </c>
      <c r="D112" s="55"/>
      <c r="F112" s="130" t="s">
        <v>46</v>
      </c>
      <c r="G112" s="129"/>
      <c r="H112" s="129"/>
      <c r="I112" s="129"/>
      <c r="J112" s="133">
        <f>J99+J103+J104+J105-J108-J109-J110</f>
        <v>1750</v>
      </c>
      <c r="K112" s="132"/>
      <c r="L112" s="120"/>
      <c r="M112" s="128" t="s">
        <v>46</v>
      </c>
      <c r="N112" s="127"/>
      <c r="O112" s="127"/>
      <c r="P112" s="127"/>
      <c r="Q112" s="133">
        <f>Q99+Q103+Q104+Q105-Q108-Q109-Q110</f>
        <v>1736.6666666666665</v>
      </c>
      <c r="R112" s="132"/>
      <c r="T112" s="224" t="s">
        <v>46</v>
      </c>
      <c r="U112" s="225"/>
      <c r="V112" s="225"/>
      <c r="W112" s="225"/>
      <c r="X112" s="226">
        <f>X99+X103-X108-X109-X110</f>
        <v>1750</v>
      </c>
      <c r="Y112" s="227"/>
      <c r="AA112" s="63"/>
      <c r="AB112" s="63"/>
      <c r="AC112" s="63"/>
      <c r="AF112" s="120"/>
    </row>
    <row r="113" spans="1:25" x14ac:dyDescent="0.25">
      <c r="A113" s="115" t="s">
        <v>90</v>
      </c>
      <c r="C113" s="55">
        <f>IF(C108+C104&gt;C97,C104+C108,IF(AND(C108+C104&lt;=C97,C107-C104&gt;=C97),C97,C107-C104))</f>
        <v>80</v>
      </c>
      <c r="D113" s="55"/>
      <c r="E113" s="122"/>
      <c r="F113" s="47" t="str">
        <f>" "</f>
        <v xml:space="preserve"> </v>
      </c>
      <c r="G113" s="63"/>
      <c r="H113" s="63"/>
      <c r="I113" s="63"/>
      <c r="J113" s="1"/>
      <c r="K113" s="131"/>
      <c r="M113" s="47" t="str">
        <f>" "</f>
        <v xml:space="preserve"> </v>
      </c>
      <c r="N113" s="63"/>
      <c r="O113" s="63"/>
      <c r="P113" s="63"/>
      <c r="Q113" s="1"/>
      <c r="R113" s="131"/>
      <c r="T113" s="20" t="str">
        <f>" "</f>
        <v xml:space="preserve"> </v>
      </c>
      <c r="U113" s="19"/>
      <c r="V113" s="19"/>
      <c r="W113" s="19"/>
      <c r="X113" s="18"/>
      <c r="Y113" s="222"/>
    </row>
    <row r="114" spans="1:25" ht="15.75" thickBot="1" x14ac:dyDescent="0.3">
      <c r="A114" s="13"/>
      <c r="B114" s="12"/>
      <c r="C114" s="4"/>
      <c r="D114" s="11"/>
      <c r="E114" s="12"/>
      <c r="F114" s="130" t="s">
        <v>45</v>
      </c>
      <c r="G114" s="129"/>
      <c r="H114" s="129"/>
      <c r="I114" s="129"/>
      <c r="J114" s="126">
        <f>MAX(MAX(J112*-1,0)-J101,0)</f>
        <v>0</v>
      </c>
      <c r="K114" s="125"/>
      <c r="M114" s="128" t="s">
        <v>45</v>
      </c>
      <c r="N114" s="127"/>
      <c r="O114" s="127"/>
      <c r="P114" s="127"/>
      <c r="Q114" s="126">
        <f>MAX(MAX(Q112*-1,0)-Q101,0)</f>
        <v>0</v>
      </c>
      <c r="R114" s="125"/>
      <c r="T114" s="224" t="s">
        <v>45</v>
      </c>
      <c r="U114" s="225"/>
      <c r="V114" s="225"/>
      <c r="W114" s="225"/>
      <c r="X114" s="164">
        <f>MAX(MAX(X112*-1,0)-X101,0)</f>
        <v>0</v>
      </c>
      <c r="Y114" s="228"/>
    </row>
    <row r="115" spans="1:25" ht="16.5" thickTop="1" thickBot="1" x14ac:dyDescent="0.3">
      <c r="F115" s="59" t="str">
        <f>" "</f>
        <v xml:space="preserve"> </v>
      </c>
      <c r="G115" s="108"/>
      <c r="H115" s="108"/>
      <c r="I115" s="108"/>
      <c r="J115" s="23"/>
      <c r="K115" s="124"/>
      <c r="L115" s="29"/>
      <c r="M115" s="59" t="str">
        <f>" "</f>
        <v xml:space="preserve"> </v>
      </c>
      <c r="N115" s="108"/>
      <c r="O115" s="108"/>
      <c r="P115" s="108"/>
      <c r="Q115" s="23"/>
      <c r="R115" s="123"/>
      <c r="S115" s="29"/>
      <c r="T115" s="10" t="str">
        <f>" "</f>
        <v xml:space="preserve"> </v>
      </c>
      <c r="U115" s="9"/>
      <c r="V115" s="9"/>
      <c r="W115" s="9"/>
      <c r="X115" s="8"/>
      <c r="Y115" s="229"/>
    </row>
    <row r="116" spans="1:25" x14ac:dyDescent="0.25">
      <c r="F116" s="122"/>
      <c r="G116" s="122"/>
      <c r="H116" s="122"/>
      <c r="I116" s="122"/>
      <c r="J116" s="120"/>
      <c r="K116" s="121"/>
      <c r="L116" s="215"/>
      <c r="M116" s="121"/>
      <c r="N116" s="121"/>
      <c r="O116" s="121"/>
      <c r="Q116" s="121"/>
      <c r="R116" s="121"/>
      <c r="S116" s="121"/>
      <c r="T116" s="121"/>
      <c r="U116" s="121"/>
    </row>
    <row r="117" spans="1:25" x14ac:dyDescent="0.25">
      <c r="L117" s="118"/>
    </row>
    <row r="118" spans="1:25" x14ac:dyDescent="0.25">
      <c r="H118" s="55"/>
      <c r="I118" s="117" t="s">
        <v>44</v>
      </c>
      <c r="J118" s="116"/>
      <c r="K118" s="55"/>
      <c r="L118" s="55"/>
    </row>
    <row r="119" spans="1:25" x14ac:dyDescent="0.25">
      <c r="H119" s="115" t="s">
        <v>43</v>
      </c>
      <c r="I119" s="55" t="s">
        <v>42</v>
      </c>
      <c r="J119" s="55"/>
      <c r="K119" s="55"/>
      <c r="L119" s="55"/>
      <c r="M119" s="54">
        <f>MIN(J114,Q114)</f>
        <v>0</v>
      </c>
      <c r="O119" s="114">
        <f>MIN(Q114,X114)</f>
        <v>0</v>
      </c>
    </row>
    <row r="120" spans="1:25" ht="30" x14ac:dyDescent="0.25">
      <c r="I120" s="113" t="s">
        <v>41</v>
      </c>
      <c r="J120" s="113"/>
      <c r="K120" s="113"/>
      <c r="L120" s="113"/>
      <c r="M120" s="113"/>
      <c r="N120" s="113"/>
      <c r="O120" s="113"/>
      <c r="P120" s="113"/>
      <c r="Q120" s="55"/>
      <c r="R120" s="55"/>
    </row>
    <row r="121" spans="1:25" x14ac:dyDescent="0.25">
      <c r="I121" s="113"/>
      <c r="J121" s="113"/>
      <c r="K121" s="113"/>
      <c r="L121" s="113"/>
      <c r="M121" s="113"/>
      <c r="N121" s="113"/>
      <c r="O121" s="113"/>
      <c r="P121" s="113"/>
      <c r="Q121" s="55"/>
      <c r="R121" s="55"/>
    </row>
    <row r="122" spans="1:25" x14ac:dyDescent="0.25">
      <c r="I122" s="113"/>
      <c r="J122" s="113"/>
      <c r="K122" s="113"/>
      <c r="L122" s="113"/>
      <c r="M122" s="113"/>
      <c r="N122" s="113"/>
      <c r="O122" s="113"/>
      <c r="P122" s="113"/>
      <c r="Q122" s="55"/>
      <c r="R122" s="55"/>
    </row>
    <row r="123" spans="1:25" x14ac:dyDescent="0.25">
      <c r="I123" s="113"/>
      <c r="J123" s="113"/>
      <c r="K123" s="113"/>
      <c r="L123" s="113"/>
      <c r="M123" s="113"/>
      <c r="N123" s="113"/>
      <c r="O123" s="113"/>
      <c r="P123" s="113"/>
      <c r="Q123" s="55"/>
      <c r="R123" s="55"/>
    </row>
    <row r="124" spans="1:25" x14ac:dyDescent="0.25">
      <c r="I124" s="113"/>
      <c r="J124" s="113"/>
      <c r="K124" s="113"/>
      <c r="L124" s="113"/>
      <c r="M124" s="113"/>
      <c r="N124" s="113"/>
      <c r="O124" s="113"/>
      <c r="P124" s="113"/>
      <c r="Q124" s="55"/>
      <c r="R124" s="55"/>
    </row>
    <row r="125" spans="1:25" x14ac:dyDescent="0.25">
      <c r="I125" s="113"/>
      <c r="J125" s="113"/>
      <c r="K125" s="113"/>
      <c r="L125" s="113"/>
      <c r="M125" s="113"/>
      <c r="N125" s="113"/>
      <c r="O125" s="113"/>
      <c r="P125" s="113"/>
      <c r="Q125" s="55"/>
      <c r="R125" s="55"/>
    </row>
    <row r="126" spans="1:25" x14ac:dyDescent="0.25">
      <c r="I126" s="113"/>
      <c r="J126" s="113"/>
      <c r="K126" s="113"/>
      <c r="L126" s="113"/>
      <c r="M126" s="113"/>
      <c r="N126" s="113"/>
      <c r="O126" s="113"/>
      <c r="P126" s="113"/>
      <c r="Q126" s="55"/>
      <c r="R126" s="55"/>
    </row>
    <row r="127" spans="1:25" x14ac:dyDescent="0.25">
      <c r="I127" s="113"/>
      <c r="J127" s="113"/>
      <c r="K127" s="113"/>
      <c r="L127" s="113"/>
      <c r="M127" s="113"/>
      <c r="N127" s="113"/>
      <c r="O127" s="113"/>
      <c r="P127" s="113"/>
      <c r="Q127" s="55"/>
      <c r="R127" s="55"/>
    </row>
    <row r="128" spans="1:25" x14ac:dyDescent="0.25">
      <c r="I128" s="113"/>
      <c r="J128" s="113"/>
      <c r="K128" s="113"/>
      <c r="L128" s="113"/>
      <c r="M128" s="113"/>
      <c r="N128" s="113"/>
      <c r="O128" s="113"/>
      <c r="P128" s="113"/>
      <c r="Q128" s="55"/>
      <c r="R128" s="55"/>
    </row>
    <row r="129" spans="1:34" x14ac:dyDescent="0.25">
      <c r="I129" s="113"/>
      <c r="J129" s="113"/>
      <c r="K129" s="113"/>
      <c r="L129" s="113"/>
      <c r="M129" s="113"/>
      <c r="N129" s="113"/>
      <c r="O129" s="113"/>
      <c r="P129" s="113"/>
      <c r="Q129" s="55"/>
      <c r="R129" s="55"/>
    </row>
    <row r="130" spans="1:34" x14ac:dyDescent="0.25">
      <c r="I130" s="113"/>
      <c r="J130" s="113"/>
      <c r="K130" s="113"/>
      <c r="L130" s="113"/>
      <c r="M130" s="113"/>
      <c r="N130" s="113"/>
      <c r="O130" s="113"/>
      <c r="P130" s="113"/>
      <c r="Q130" s="55"/>
      <c r="R130" s="55"/>
    </row>
    <row r="131" spans="1:34" x14ac:dyDescent="0.25">
      <c r="I131" s="113"/>
      <c r="J131" s="113"/>
      <c r="K131" s="113"/>
      <c r="L131" s="113"/>
      <c r="M131" s="113"/>
      <c r="N131" s="113"/>
      <c r="O131" s="113"/>
      <c r="P131" s="113"/>
      <c r="Q131" s="55"/>
      <c r="R131" s="55"/>
    </row>
    <row r="132" spans="1:34" x14ac:dyDescent="0.25">
      <c r="I132" s="113"/>
      <c r="J132" s="113"/>
      <c r="K132" s="113"/>
      <c r="L132" s="113"/>
      <c r="M132" s="113"/>
      <c r="N132" s="113"/>
      <c r="O132" s="113"/>
      <c r="P132" s="113"/>
      <c r="Q132" s="55"/>
      <c r="R132" s="55"/>
    </row>
    <row r="133" spans="1:34" x14ac:dyDescent="0.25">
      <c r="I133" s="113"/>
      <c r="J133" s="113"/>
      <c r="K133" s="113"/>
      <c r="L133" s="113"/>
      <c r="M133" s="113"/>
      <c r="N133" s="113"/>
      <c r="O133" s="113"/>
      <c r="P133" s="113"/>
      <c r="Q133" s="55"/>
      <c r="R133" s="55"/>
    </row>
    <row r="134" spans="1:34" x14ac:dyDescent="0.25">
      <c r="I134" s="113"/>
      <c r="J134" s="113"/>
      <c r="K134" s="113"/>
      <c r="L134" s="113"/>
      <c r="M134" s="113"/>
      <c r="N134" s="113"/>
      <c r="O134" s="113"/>
      <c r="P134" s="113"/>
      <c r="Q134" s="55"/>
      <c r="R134" s="55"/>
    </row>
    <row r="135" spans="1:34" x14ac:dyDescent="0.25">
      <c r="I135" s="113"/>
      <c r="J135" s="113"/>
      <c r="K135" s="113"/>
      <c r="L135" s="113"/>
      <c r="M135" s="113"/>
      <c r="N135" s="113"/>
      <c r="O135" s="113"/>
      <c r="P135" s="113"/>
      <c r="Q135" s="55"/>
      <c r="R135" s="55"/>
    </row>
    <row r="137" spans="1:34" ht="21.75" thickBot="1" x14ac:dyDescent="0.4">
      <c r="A137" s="217" t="s">
        <v>105</v>
      </c>
      <c r="B137" s="112"/>
      <c r="C137" s="112"/>
      <c r="D137" s="112"/>
      <c r="E137" s="112"/>
      <c r="F137" s="112"/>
      <c r="G137" s="112"/>
      <c r="H137" s="112"/>
      <c r="I137" s="112"/>
      <c r="J137" s="112"/>
      <c r="K137" s="112"/>
      <c r="L137" s="112"/>
      <c r="M137" s="112"/>
      <c r="N137" s="112"/>
      <c r="O137" s="112"/>
      <c r="P137" s="112"/>
      <c r="Q137" s="207"/>
      <c r="R137" s="207"/>
      <c r="S137" s="207"/>
      <c r="T137" s="207"/>
    </row>
    <row r="138" spans="1:34" ht="15.75" thickBot="1" x14ac:dyDescent="0.3">
      <c r="A138" s="206" t="s">
        <v>40</v>
      </c>
      <c r="B138" s="205"/>
      <c r="C138" s="205"/>
      <c r="D138" s="199"/>
      <c r="E138" s="53" t="s">
        <v>82</v>
      </c>
      <c r="F138" s="95"/>
      <c r="G138" s="94"/>
      <c r="H138" s="156" t="s">
        <v>87</v>
      </c>
      <c r="I138" s="155"/>
      <c r="J138" s="157"/>
      <c r="K138" s="156" t="s">
        <v>86</v>
      </c>
      <c r="L138" s="155"/>
      <c r="M138" s="157"/>
      <c r="N138" s="156" t="s">
        <v>85</v>
      </c>
      <c r="O138" s="155"/>
      <c r="P138" s="157"/>
      <c r="Q138" s="156" t="s">
        <v>88</v>
      </c>
      <c r="R138" s="155"/>
      <c r="S138" s="155"/>
      <c r="T138" s="157"/>
      <c r="U138" s="156" t="s">
        <v>36</v>
      </c>
      <c r="V138" s="155"/>
      <c r="W138" s="155"/>
      <c r="X138" s="157"/>
    </row>
    <row r="139" spans="1:34" ht="30.75" thickBot="1" x14ac:dyDescent="0.3">
      <c r="A139" s="106" t="s">
        <v>35</v>
      </c>
      <c r="B139" s="89" t="s">
        <v>34</v>
      </c>
      <c r="C139" s="89" t="s">
        <v>33</v>
      </c>
      <c r="D139" s="105" t="s">
        <v>39</v>
      </c>
      <c r="E139" s="204" t="s">
        <v>75</v>
      </c>
      <c r="F139" s="92" t="s">
        <v>84</v>
      </c>
      <c r="G139" s="91" t="s">
        <v>83</v>
      </c>
      <c r="H139" s="204" t="s">
        <v>75</v>
      </c>
      <c r="I139" s="92" t="s">
        <v>32</v>
      </c>
      <c r="J139" s="91" t="s">
        <v>31</v>
      </c>
      <c r="K139" s="204" t="s">
        <v>75</v>
      </c>
      <c r="L139" s="92" t="s">
        <v>32</v>
      </c>
      <c r="M139" s="91" t="s">
        <v>31</v>
      </c>
      <c r="N139" s="204" t="s">
        <v>75</v>
      </c>
      <c r="O139" s="92" t="s">
        <v>32</v>
      </c>
      <c r="P139" s="91" t="s">
        <v>31</v>
      </c>
      <c r="Q139" s="90" t="s">
        <v>38</v>
      </c>
      <c r="R139" s="89" t="s">
        <v>37</v>
      </c>
      <c r="S139" s="89" t="s">
        <v>32</v>
      </c>
      <c r="T139" s="88" t="s">
        <v>31</v>
      </c>
      <c r="U139" s="90" t="s">
        <v>38</v>
      </c>
      <c r="V139" s="89" t="s">
        <v>37</v>
      </c>
      <c r="W139" s="89" t="s">
        <v>32</v>
      </c>
      <c r="X139" s="88" t="s">
        <v>31</v>
      </c>
    </row>
    <row r="140" spans="1:34" x14ac:dyDescent="0.25">
      <c r="A140" s="104">
        <v>1</v>
      </c>
      <c r="B140" s="102">
        <v>0</v>
      </c>
      <c r="C140" s="102">
        <v>50</v>
      </c>
      <c r="D140" s="84">
        <v>20</v>
      </c>
      <c r="E140" s="203">
        <f>IF(AND(C154&gt;B140,C154&lt;=C140),C154,0)</f>
        <v>0</v>
      </c>
      <c r="F140" s="85">
        <f>IF(C154&gt;0,D140,0)</f>
        <v>0</v>
      </c>
      <c r="G140" s="84">
        <f>IF(E140&gt;0,IF(E140=B140,D140,IF(AND(E140&gt;B140,E140&lt;=C140),D140+(E140-B140)*((D140-D140)/(C140-B140)),0)),0)</f>
        <v>0</v>
      </c>
      <c r="H140" s="202">
        <f>IF(AND(C163&gt;B140,C163&lt;=C140),C163,0)</f>
        <v>0</v>
      </c>
      <c r="I140" s="85">
        <f>IF(C163&gt;0,D140,0)</f>
        <v>20</v>
      </c>
      <c r="J140" s="84">
        <f>IF(H140&gt;0,IF(H140=B140,D140,IF(AND(H140&gt;B140,H140&lt;=C140),D140+(H140-B140)*((D140-D140)/(C140-B140)),0)),0)</f>
        <v>0</v>
      </c>
      <c r="K140" s="103">
        <f>IF(AND(C165&gt;B140,C165&lt;=C140),C165,0)</f>
        <v>0</v>
      </c>
      <c r="L140" s="85">
        <f>IF(C163&gt;0,D140,0)</f>
        <v>20</v>
      </c>
      <c r="M140" s="84">
        <f>IF(K140&gt;0,IF(K140=B140,D140,IF(AND(K140&gt;B140,K140&lt;=C140),D140+(K140-B140)*((D140-D140)/(C140-B140)),0)),0)</f>
        <v>0</v>
      </c>
      <c r="N140" s="103">
        <f>IF(AND(C166&gt;E140,C166&lt;=F140),C166,0)</f>
        <v>0</v>
      </c>
      <c r="O140" s="85">
        <f>IF(C166&gt;0,D140,0)</f>
        <v>20</v>
      </c>
      <c r="P140" s="84">
        <f>IF(N140&gt;0,IF(N140=B140,D140,IF(AND(N140&gt;B140,N140&lt;=C140),D140+(N140-B140)*((D140-D140)/(C140-B140)),0)),0)</f>
        <v>0</v>
      </c>
      <c r="Q140" s="103">
        <f>IF(MIN(C166,C182)=C140,C140,0)</f>
        <v>50</v>
      </c>
      <c r="R140" s="102">
        <f>IF(MAX(C166,C182)=C140,C140,0)</f>
        <v>0</v>
      </c>
      <c r="S140" s="85">
        <f>IF(Q140&gt;0,D140,0)</f>
        <v>20</v>
      </c>
      <c r="T140" s="84">
        <f>IF(R140&gt;0,IF(R140=B140,D140,IF(AND(R140&gt;B140,R140&lt;=C140),D140+(R140-B140)*((D140-D140)/(C140-B140)),0)),0)</f>
        <v>0</v>
      </c>
      <c r="U140" s="103">
        <f>IF(MIN(C166,C182)=C140,C140,0)</f>
        <v>50</v>
      </c>
      <c r="V140" s="102">
        <f>IF(MAX(C166,C182)=C140,C140,0)</f>
        <v>0</v>
      </c>
      <c r="W140" s="85">
        <f>IF(U140&gt;0,D140,0)</f>
        <v>20</v>
      </c>
      <c r="X140" s="84">
        <f>IF(V140&gt;0,IF(V140=B140,D140,IF(AND(V140&gt;B140,V140&lt;=C140),D140+(V140-B140)*((D140-D140)/(C140-B140)),0)),0)</f>
        <v>0</v>
      </c>
    </row>
    <row r="141" spans="1:34" x14ac:dyDescent="0.25">
      <c r="A141" s="30">
        <v>2</v>
      </c>
      <c r="B141" s="29">
        <v>50</v>
      </c>
      <c r="C141" s="29">
        <v>75</v>
      </c>
      <c r="D141" s="81">
        <v>25</v>
      </c>
      <c r="E141" s="201">
        <f>IF(AND(C154&gt;B141,C154&lt;=C141),C154,0)</f>
        <v>0</v>
      </c>
      <c r="F141" s="1">
        <v>0</v>
      </c>
      <c r="G141" s="81">
        <f>IF(E141&gt;0,IF(AND(E141&gt;B141,E141&lt;C141),D140+(E141-B141)*((D141-D140)/(C141-B141)),0),0)</f>
        <v>0</v>
      </c>
      <c r="H141" s="101">
        <f>IF(AND(C163&gt;B141,C163&lt;=C141),C163,0)</f>
        <v>70</v>
      </c>
      <c r="I141" s="1">
        <v>0</v>
      </c>
      <c r="J141" s="81">
        <f>IF(H141&gt;0,IF(H141=B141,D141,IF(AND(H141&gt;B141,H141&lt;=C141),D140+(H141-B141)*((D141-D140)/(C141-B141)),0)),0)</f>
        <v>24</v>
      </c>
      <c r="K141" s="101">
        <f>IF(AND(C165&gt;B141,C165&lt;=C141),C165,0)</f>
        <v>70</v>
      </c>
      <c r="L141" s="1">
        <v>0</v>
      </c>
      <c r="M141" s="81">
        <f>IF(K141&gt;0,IF(K141=B141,D141,IF(AND(K141&gt;B141,K141&lt;=C141),D140+(K141-B141)*((D141-D140)/(C141-B141)),0)),0)</f>
        <v>24</v>
      </c>
      <c r="N141" s="101">
        <f>IF(AND(C166&gt;B141,C166&lt;=C141),C166,0)</f>
        <v>0</v>
      </c>
      <c r="O141" s="1">
        <v>0</v>
      </c>
      <c r="P141" s="81">
        <f>IF(N141&gt;0,IF(N141=B141,D141,IF(AND(N141&gt;B141,N141&lt;=C141),D140+(N141-B141)*((D141-D140)/(C141-B141)),0)),0)</f>
        <v>0</v>
      </c>
      <c r="Q141" s="101">
        <f>IF(AND(MIN(C166,C182)&gt;B141,MIN(C166,C182)&lt;=C141),MIN(C166,C182),0)</f>
        <v>0</v>
      </c>
      <c r="R141" s="29">
        <f>IF(AND(MAX(C166,C182)&gt;B141,MAX(C166,C182)&lt;=C141),MAX(C166,C182),0)</f>
        <v>70</v>
      </c>
      <c r="S141" s="1">
        <f>IF(Q141&gt;0,IF(Q141=B141,D141,IF(AND(Q141&gt;B141,Q141&lt;=C141),D140+(Q141-B141)*((D141-D140)/(C141-B141)),0)),0)</f>
        <v>0</v>
      </c>
      <c r="T141" s="81">
        <f>IF(R141&gt;0,IF(R141=B141,D141,IF(AND(R141&gt;B141,R141&lt;=C141),D140+(R141-B141)*((D141-D140)/(C141-B141)),0)),0)</f>
        <v>24</v>
      </c>
      <c r="U141" s="101">
        <f>IF(AND(MIN(C166,C182)&gt;B141,MIN(C166,C182)&lt;=C141),MIN(C166,C182),0)</f>
        <v>0</v>
      </c>
      <c r="V141" s="29">
        <f>IF(AND(MAX(C166,C182)&gt;B141,MAX(C166,C182)&lt;=C141),MAX(C166,C182),0)</f>
        <v>70</v>
      </c>
      <c r="W141" s="1">
        <f>IF(U141&gt;0,IF(U141=B141,D141,IF(AND(U141&gt;B141,U141&lt;=C141),D140+(U141-B141)*((D141-D140)/(C141-B141)),0)),0)</f>
        <v>0</v>
      </c>
      <c r="X141" s="81">
        <f>IF(V141&gt;0,IF(V141=B141,D141,IF(AND(V141&gt;B141,V141&lt;=C141),D140+(V141-B141)*((D141-D140)/(C141-B141)),0)),0)</f>
        <v>24</v>
      </c>
    </row>
    <row r="142" spans="1:34" ht="15.75" thickBot="1" x14ac:dyDescent="0.3">
      <c r="A142" s="100">
        <v>3</v>
      </c>
      <c r="B142" s="98">
        <v>75</v>
      </c>
      <c r="C142" s="98">
        <v>100</v>
      </c>
      <c r="D142" s="97">
        <v>30</v>
      </c>
      <c r="E142" s="200">
        <f>IF(AND(C154&gt;B142,C154&lt;=C142),C154,IF(C154&gt;C142,C154,0))</f>
        <v>0</v>
      </c>
      <c r="F142" s="23">
        <v>0</v>
      </c>
      <c r="G142" s="97">
        <f>IF(E142&gt;0,IF(E142=C142,D142,IF(AND(E142&gt;B142,E142&lt;C142),D141+(E142-B142)*((D142-D141)/(C142-B142)),IF(E142&gt;C142,D142,0))),0)</f>
        <v>0</v>
      </c>
      <c r="H142" s="99">
        <f>IF(AND(C163&gt;B142,C163&lt;=C142),C163,IF(C163&gt;C142,C163,0))</f>
        <v>0</v>
      </c>
      <c r="I142" s="23">
        <v>0</v>
      </c>
      <c r="J142" s="97">
        <f>IF(H142&gt;0,IF(H142=B142,D142,IF(AND(H142&gt;B142,H142&lt;=C142),D141+(H142-B142)*((D142-D141)/(C142-B142)),IF(H142&gt;C142,D142,0))),0)</f>
        <v>0</v>
      </c>
      <c r="K142" s="99">
        <f>IF(AND(C165&gt;B142,C165&lt;=C142),C165,IF(C165&gt;C142,C165,0))</f>
        <v>0</v>
      </c>
      <c r="L142" s="23">
        <v>0</v>
      </c>
      <c r="M142" s="97">
        <f>IF(K142&gt;0,IF(K142=B142,D142,IF(AND(K142&gt;B142,K142&lt;=C142),D141+(K142-B142)*((D142-D141)/(C142-B142)),IF(K142&gt;C142,D142,0))),0)</f>
        <v>0</v>
      </c>
      <c r="N142" s="99">
        <f>IF(AND(C166&gt;B142,C166&lt;=C142),C166,IF(C166&gt;C142,C166,0))</f>
        <v>0</v>
      </c>
      <c r="O142" s="23">
        <v>0</v>
      </c>
      <c r="P142" s="97">
        <f>IF(N142&gt;0,IF(N142=B142,D142,IF(AND(N142&gt;B142,N142&lt;=C142),D141+(N142-B142)*((D142-D141)/(C142-B142)),IF(N142&gt;C142,D142,0))),0)</f>
        <v>0</v>
      </c>
      <c r="Q142" s="99">
        <f>IF(AND(MIN(C166,C182)&gt;B142,MIN(C166,C182)&lt;=C142),MIN(C166,C182),0)</f>
        <v>0</v>
      </c>
      <c r="R142" s="98">
        <f>IF(OR(AND(MAX(C166,C182)&gt;B142,MAX(C166,C182)&lt;=C142),MAX(C166,C182)&gt;C142),MAX(C166,C182),0)</f>
        <v>0</v>
      </c>
      <c r="S142" s="23">
        <f>IF(Q142&gt;0,IF(Q142=B142,D142,IF(AND(Q142&gt;B142,Q142&lt;=C142),D141+(Q142-B142)*((D142-D141)/(C142-B142)),IF(Q142&gt;C142,D142,0))),0)</f>
        <v>0</v>
      </c>
      <c r="T142" s="97">
        <f>IF(R142&gt;0,IF(R142=B142,D142,IF(AND(R142&gt;B142,R142&lt;=C142),D141+(R142-B142)*((D142-D141)/(C142-B142)),IF(R142&gt;C142,D142,0))),0)</f>
        <v>0</v>
      </c>
      <c r="U142" s="99">
        <f>IF(AND(MIN(C166,C182)&gt;B142,MIN(C166,C182)&lt;=C142),MIN(C166,C182),0)</f>
        <v>0</v>
      </c>
      <c r="V142" s="98">
        <f>IF(AND(MAX(C166,C182)&gt;B142,MAX(C166,C182)&lt;=C142),MAX(C166,C182),0)</f>
        <v>0</v>
      </c>
      <c r="W142" s="23">
        <f>IF(U142&gt;0,IF(U142=B142,D142,IF(AND(U142&gt;B142,U142&lt;=C142),D141+(U142-B142)*((D142-D141)/(C142-B142)),IF(U142&gt;C142,D142,0))),0)</f>
        <v>0</v>
      </c>
      <c r="X142" s="97">
        <f>IF(V142&gt;0,IF(V142=B142,D142,IF(AND(V142&gt;B142,V142&lt;=C142),D141+(V142-B142)*((D142-D141)/(C142-B142)),IF(V142&gt;C142,D142,0))),0)</f>
        <v>0</v>
      </c>
    </row>
    <row r="143" spans="1:34" ht="15.75" thickBot="1" x14ac:dyDescent="0.3">
      <c r="J143" s="96"/>
    </row>
    <row r="144" spans="1:34" ht="15.75" thickBot="1" x14ac:dyDescent="0.3">
      <c r="A144" s="156" t="s">
        <v>82</v>
      </c>
      <c r="B144" s="156"/>
      <c r="C144" s="155"/>
      <c r="D144" s="155"/>
      <c r="E144" s="155"/>
      <c r="F144" s="157"/>
      <c r="G144" s="198"/>
      <c r="H144" s="53" t="s">
        <v>81</v>
      </c>
      <c r="I144" s="95"/>
      <c r="J144" s="95"/>
      <c r="K144" s="95"/>
      <c r="L144" s="95"/>
      <c r="M144" s="94"/>
      <c r="O144" s="53" t="s">
        <v>80</v>
      </c>
      <c r="P144" s="95"/>
      <c r="Q144" s="95"/>
      <c r="R144" s="95"/>
      <c r="S144" s="95"/>
      <c r="T144" s="94"/>
      <c r="V144" s="53" t="s">
        <v>88</v>
      </c>
      <c r="W144" s="95"/>
      <c r="X144" s="95"/>
      <c r="Y144" s="95"/>
      <c r="Z144" s="95"/>
      <c r="AA144" s="94"/>
      <c r="AC144" s="53" t="s">
        <v>36</v>
      </c>
      <c r="AD144" s="95"/>
      <c r="AE144" s="95"/>
      <c r="AF144" s="95"/>
      <c r="AG144" s="95"/>
      <c r="AH144" s="94"/>
    </row>
    <row r="145" spans="1:34" ht="30.75" thickBot="1" x14ac:dyDescent="0.3">
      <c r="A145" s="90" t="s">
        <v>35</v>
      </c>
      <c r="B145" s="89" t="s">
        <v>34</v>
      </c>
      <c r="C145" s="89" t="s">
        <v>33</v>
      </c>
      <c r="D145" s="89" t="s">
        <v>32</v>
      </c>
      <c r="E145" s="89" t="s">
        <v>31</v>
      </c>
      <c r="F145" s="199" t="s">
        <v>30</v>
      </c>
      <c r="G145" s="198"/>
      <c r="H145" s="93" t="s">
        <v>35</v>
      </c>
      <c r="I145" s="92" t="s">
        <v>34</v>
      </c>
      <c r="J145" s="92" t="s">
        <v>33</v>
      </c>
      <c r="K145" s="92" t="s">
        <v>32</v>
      </c>
      <c r="L145" s="92" t="s">
        <v>31</v>
      </c>
      <c r="M145" s="91" t="s">
        <v>30</v>
      </c>
      <c r="O145" s="93" t="s">
        <v>35</v>
      </c>
      <c r="P145" s="92" t="s">
        <v>34</v>
      </c>
      <c r="Q145" s="92" t="s">
        <v>33</v>
      </c>
      <c r="R145" s="92" t="s">
        <v>32</v>
      </c>
      <c r="S145" s="92" t="s">
        <v>31</v>
      </c>
      <c r="T145" s="91" t="s">
        <v>30</v>
      </c>
      <c r="V145" s="93" t="s">
        <v>35</v>
      </c>
      <c r="W145" s="92" t="s">
        <v>34</v>
      </c>
      <c r="X145" s="92" t="s">
        <v>33</v>
      </c>
      <c r="Y145" s="92" t="s">
        <v>32</v>
      </c>
      <c r="Z145" s="92" t="s">
        <v>31</v>
      </c>
      <c r="AA145" s="91" t="s">
        <v>30</v>
      </c>
      <c r="AC145" s="90" t="s">
        <v>35</v>
      </c>
      <c r="AD145" s="89" t="s">
        <v>34</v>
      </c>
      <c r="AE145" s="89" t="s">
        <v>33</v>
      </c>
      <c r="AF145" s="89" t="s">
        <v>32</v>
      </c>
      <c r="AG145" s="89" t="s">
        <v>31</v>
      </c>
      <c r="AH145" s="88" t="s">
        <v>30</v>
      </c>
    </row>
    <row r="146" spans="1:34" x14ac:dyDescent="0.25">
      <c r="A146" s="104">
        <v>1</v>
      </c>
      <c r="B146" s="102">
        <v>0</v>
      </c>
      <c r="C146" s="102">
        <f>IF(AND(C154&gt;B140,C154&lt;C140),C154,IF(C154&gt;=C140,C140,0))</f>
        <v>0</v>
      </c>
      <c r="D146" s="85">
        <f>MIN(D140,F140)</f>
        <v>0</v>
      </c>
      <c r="E146" s="85">
        <f>IF(AND(C154&gt;B140,C154&lt;C140),G140,IF(C154&gt;=C140,D140,0))</f>
        <v>0</v>
      </c>
      <c r="F146" s="84">
        <f>(C146-B146)*(D146+E146)/2</f>
        <v>0</v>
      </c>
      <c r="G146" s="51"/>
      <c r="H146" s="104">
        <v>1</v>
      </c>
      <c r="I146" s="102">
        <v>0</v>
      </c>
      <c r="J146" s="102">
        <f>IF(AND(C163&gt;B140,C163&lt;C140),C163,IF(C163&gt;=C140,C140,0))</f>
        <v>50</v>
      </c>
      <c r="K146" s="85">
        <f>MIN(D140,I140)</f>
        <v>20</v>
      </c>
      <c r="L146" s="85">
        <f>IF(AND(C163&gt;B140,C163&lt;C140),J140,IF(C163&gt;=C140,D140,0))</f>
        <v>20</v>
      </c>
      <c r="M146" s="84">
        <f>(J146-I146)*(K146+L146)/2</f>
        <v>1000</v>
      </c>
      <c r="O146" s="87">
        <v>1</v>
      </c>
      <c r="P146" s="86">
        <v>0</v>
      </c>
      <c r="Q146" s="86">
        <f>IF(AND(C165&gt;B140,C165&lt;C140),C165,IF(C165&gt;=C140,C140,0))</f>
        <v>50</v>
      </c>
      <c r="R146" s="85">
        <f>MIN(D140,L140)</f>
        <v>20</v>
      </c>
      <c r="S146" s="85">
        <f>IF(AND(C165&gt;B140,C165&lt;C140),M140,IF(C165&gt;=C140,D140,0))</f>
        <v>20</v>
      </c>
      <c r="T146" s="84">
        <f>(Q146-P146)*(R146+S146)/2</f>
        <v>1000</v>
      </c>
      <c r="V146" s="87">
        <v>1</v>
      </c>
      <c r="W146" s="86">
        <v>0</v>
      </c>
      <c r="X146" s="86">
        <f>IF(R140&gt;0,MIN(Q140,C140),0)</f>
        <v>0</v>
      </c>
      <c r="Y146" s="85">
        <f>IF(W146&lt;&gt;0,MIN(D140,S140),0)</f>
        <v>0</v>
      </c>
      <c r="Z146" s="85">
        <f>IF(AND(X146&gt;B140,X146&lt;C140),T140,IF(X146&gt;=C140,D140,0))</f>
        <v>0</v>
      </c>
      <c r="AA146" s="84">
        <f>(X146-W146)*(Y146+Z146)/2</f>
        <v>0</v>
      </c>
      <c r="AC146" s="83">
        <v>1</v>
      </c>
      <c r="AD146" s="86">
        <v>0</v>
      </c>
      <c r="AE146" s="86">
        <f>IF(V140&gt;0,MIN(U140,C140),0)</f>
        <v>0</v>
      </c>
      <c r="AF146" s="1">
        <f>IF(AD146&lt;&gt;0,MIN(D140,W140),0)</f>
        <v>0</v>
      </c>
      <c r="AG146" s="1">
        <f>IF(AND(AE146&gt;B140,AE146&lt;C140),X140,IF(AE146&gt;=C140,D140,0))</f>
        <v>0</v>
      </c>
      <c r="AH146" s="81">
        <f>(AE146-AD146)*(AF146+AG146)/2</f>
        <v>0</v>
      </c>
    </row>
    <row r="147" spans="1:34" x14ac:dyDescent="0.25">
      <c r="A147" s="30">
        <v>2</v>
      </c>
      <c r="B147" s="29">
        <f>IF(C154&gt;B141,C146,0)</f>
        <v>0</v>
      </c>
      <c r="C147" s="29">
        <f>IF(AND(C154&gt;B141,C154&lt;C141),C154,IF(C154&gt;=C141,C141,0))</f>
        <v>0</v>
      </c>
      <c r="D147" s="1">
        <f>IF(B147&lt;&gt;0,E146,0)</f>
        <v>0</v>
      </c>
      <c r="E147" s="1">
        <f>IF(AND(C154&gt;B141,C154&lt;C141),G141,IF(C154&gt;=C141,D141,0))</f>
        <v>0</v>
      </c>
      <c r="F147" s="81">
        <f>(C147-B147)*(D147+E147)/2</f>
        <v>0</v>
      </c>
      <c r="G147" s="27"/>
      <c r="H147" s="30">
        <v>2</v>
      </c>
      <c r="I147" s="29">
        <f>IF(C163&gt;B141,J146,0)</f>
        <v>50</v>
      </c>
      <c r="J147" s="29">
        <f>IF(AND(C163&gt;B141,C163&lt;C141),C163,IF(C163&gt;=C141,C141,0))</f>
        <v>70</v>
      </c>
      <c r="K147" s="1">
        <f>IF(I147&lt;&gt;0,L146,0)</f>
        <v>20</v>
      </c>
      <c r="L147" s="1">
        <f>IF(AND(C163&gt;B141,C163&lt;C141),J141,IF(C163&gt;=C141,D141,0))</f>
        <v>24</v>
      </c>
      <c r="M147" s="81">
        <f>(J147-I147)*(K147+L147)/2</f>
        <v>440</v>
      </c>
      <c r="O147" s="83">
        <v>2</v>
      </c>
      <c r="P147" s="82">
        <f>IF(C165&gt;B141,Q146,0)</f>
        <v>50</v>
      </c>
      <c r="Q147" s="82">
        <f>IF(AND(C165&gt;B141,C165&lt;C141),C165,IF(C165&gt;=C141,C141,0))</f>
        <v>70</v>
      </c>
      <c r="R147" s="1">
        <f>IF(P147&lt;&gt;0,S146,0)</f>
        <v>20</v>
      </c>
      <c r="S147" s="1">
        <f>IF(AND(C165&gt;B141,C165&lt;C141),M141,IF(C165&gt;=C141,D141,0))</f>
        <v>24</v>
      </c>
      <c r="T147" s="81">
        <f>(Q147-P147)*(R147+S147)/2</f>
        <v>440</v>
      </c>
      <c r="V147" s="83">
        <v>2</v>
      </c>
      <c r="W147" s="82">
        <f>IF(OR(X146&gt;0,R141&gt;0),B141,MIN(C141,Q141))</f>
        <v>50</v>
      </c>
      <c r="X147" s="82">
        <f>IF(AND(W147&gt;0,MAX(R140:R142)&lt;C141),MAX(R140:R142),IF(AND(MAX(R140:R142)&gt;=C141,W147&gt;0),C141,0))</f>
        <v>70</v>
      </c>
      <c r="Y147" s="1">
        <f>IF(W147=MAX(Q140:Q142),MAX(S140:S142),0)</f>
        <v>20</v>
      </c>
      <c r="Z147" s="1">
        <f>IF(AND(X147&gt;B141,X147&lt;C141),T141,IF(X147&gt;=C141,D141,0))</f>
        <v>24</v>
      </c>
      <c r="AA147" s="81">
        <f>(X147-W147)*(Y147+Z147)/2</f>
        <v>440</v>
      </c>
      <c r="AC147" s="83">
        <v>2</v>
      </c>
      <c r="AD147" s="82">
        <f>IF(OR(AE146&gt;0,V141&gt;0),B141,MIN(C141,U141))</f>
        <v>50</v>
      </c>
      <c r="AE147" s="82">
        <f>IF(AND(AD147&gt;0,MAX(V140:V142)&lt;C141),MAX(V140:V142),IF(AND(MAX(V140:V142)&gt;=C141,AD147&gt;0),C141,0))</f>
        <v>70</v>
      </c>
      <c r="AF147" s="1">
        <f>IF(AD147=MAX(U140:U142),MAX(W140:W142),0)</f>
        <v>20</v>
      </c>
      <c r="AG147" s="1">
        <f>IF(AND(AE147&gt;B141,AE147&lt;C141),X141,IF(AE147&gt;=C141,D141,0))</f>
        <v>24</v>
      </c>
      <c r="AH147" s="81">
        <f>(AE147-AD147)*(AF147+AG147)/2</f>
        <v>440</v>
      </c>
    </row>
    <row r="148" spans="1:34" x14ac:dyDescent="0.25">
      <c r="A148" s="30">
        <v>3</v>
      </c>
      <c r="B148" s="29">
        <f>IF(C154&gt;B142,C147,0)</f>
        <v>0</v>
      </c>
      <c r="C148" s="29">
        <f>IF(AND(C154&gt;B142,C154&lt;C142),C154,IF(C154&gt;=C142,C142,0))</f>
        <v>0</v>
      </c>
      <c r="D148" s="1">
        <f>IF(B148&lt;&gt;0,E147,0)</f>
        <v>0</v>
      </c>
      <c r="E148" s="1">
        <f>IF(AND(C154&gt;B142,C154&lt;C142),G142,IF(C154&gt;=C142,D142,0))</f>
        <v>0</v>
      </c>
      <c r="F148" s="81">
        <f>(C148-B148)*(D148+E148)/2</f>
        <v>0</v>
      </c>
      <c r="G148" s="27"/>
      <c r="H148" s="30">
        <v>3</v>
      </c>
      <c r="I148" s="29">
        <f>IF(C163&gt;B142,J147,0)</f>
        <v>0</v>
      </c>
      <c r="J148" s="29">
        <f>IF(AND(C163&gt;B142,C163&lt;C142),C163,IF(C163&gt;=C142,C142,0))</f>
        <v>0</v>
      </c>
      <c r="K148" s="1">
        <f>IF(I148&lt;&gt;0,L147,0)</f>
        <v>0</v>
      </c>
      <c r="L148" s="1">
        <f>IF(AND(C163&gt;B142,C163&lt;C142),J142,IF(C163&gt;=C142,D142,0))</f>
        <v>0</v>
      </c>
      <c r="M148" s="81">
        <f>(J148-I148)*(K148+L148)/2</f>
        <v>0</v>
      </c>
      <c r="O148" s="83">
        <v>3</v>
      </c>
      <c r="P148" s="82">
        <f>IF(C165&gt;B142,Q147,0)</f>
        <v>0</v>
      </c>
      <c r="Q148" s="82">
        <f>IF(AND(C165&gt;B142,C165&lt;C142),C165,IF(C165&gt;=C142,C142,0))</f>
        <v>0</v>
      </c>
      <c r="R148" s="1">
        <f>IF(P148&lt;&gt;0,S147,0)</f>
        <v>0</v>
      </c>
      <c r="S148" s="1">
        <f>IF(AND(C165&gt;B142,C165&lt;C142),M142,IF(C165&gt;=C142,D142,0))</f>
        <v>0</v>
      </c>
      <c r="T148" s="81">
        <f>(Q148-P148)*(R148+S148)/2</f>
        <v>0</v>
      </c>
      <c r="V148" s="83">
        <v>3</v>
      </c>
      <c r="W148" s="82">
        <f>IF(AND(X147&gt;0,MAX(R140:R142)&gt;C141),B142,IF(AND(MAX(Q140:Q142)&gt;B142,MAX(Q140:Q142)&lt;C142),MAX(Q140:Q142),MIN(C142,Q141)))</f>
        <v>0</v>
      </c>
      <c r="X148" s="82">
        <f>IF(AND(MAX(R140:R142)&gt;B142,MAX(R140:R142)&lt;C142),MAX(R140:R142),IF(MAX(R140:R142)&gt;=C142,C142,0))</f>
        <v>0</v>
      </c>
      <c r="Y148" s="1">
        <f>IF(AND(W148&lt;&gt;0,X147&lt;&gt;0),Z147,IF(MAX(Q140:Q142)=W148,MAX(S140:S142),0))</f>
        <v>0</v>
      </c>
      <c r="Z148" s="1">
        <f>IF(AND(X148&gt;B142,X148&lt;C142),T142,IF(X148&gt;=C142,D142,0))</f>
        <v>0</v>
      </c>
      <c r="AA148" s="81">
        <f>(X148-W148)*(Y148+Z148)/2</f>
        <v>0</v>
      </c>
      <c r="AC148" s="83">
        <v>3</v>
      </c>
      <c r="AD148" s="82">
        <f>IF(AND(AE147&gt;0,MAX(V140:V142)&gt;C141),B142,IF(AND(MAX(U140:U142)&gt;B142,MAX(U140:U142)&lt;C142),MAX(U140:U142),MIN(C142,U141)))</f>
        <v>0</v>
      </c>
      <c r="AE148" s="82">
        <f>IF(AND(MAX(Y140:Y142)&gt;I142,MAX(Y140:Y142)&lt;J142),MAX(Y140:Y142),IF(MAX(Y140:Y142)&gt;=J142,J142,0))</f>
        <v>0</v>
      </c>
      <c r="AF148" s="1">
        <f>IF(AND(AD148&lt;&gt;0,AE147&lt;&gt;0),AG147,IF(MAX(U140:U142)=AD148,MAX(W140:W142),0))</f>
        <v>0</v>
      </c>
      <c r="AG148" s="1">
        <f>IF(AND(AE148&gt;B142,AE148&lt;C142),X142,IF(AE148&gt;=C142,D142,0))</f>
        <v>0</v>
      </c>
      <c r="AH148" s="81">
        <f>(AE148-AD148)*(AF148+AG148)/2</f>
        <v>0</v>
      </c>
    </row>
    <row r="149" spans="1:34" x14ac:dyDescent="0.25">
      <c r="A149" s="30">
        <v>4</v>
      </c>
      <c r="B149" s="29">
        <f>IF(C154&gt;C142,C148,0)</f>
        <v>0</v>
      </c>
      <c r="C149" s="29">
        <f>IF(C154&gt;C142,C154,0)</f>
        <v>0</v>
      </c>
      <c r="D149" s="1">
        <f>IF(B149&lt;&gt;0,E148,0)</f>
        <v>0</v>
      </c>
      <c r="E149" s="1">
        <f>IF(C154&gt;C142,D142,0)</f>
        <v>0</v>
      </c>
      <c r="F149" s="81">
        <f>(C149-B149)*(D149+E149)/2</f>
        <v>0</v>
      </c>
      <c r="G149" s="27"/>
      <c r="H149" s="30">
        <v>4</v>
      </c>
      <c r="I149" s="29">
        <f>IF(C163&gt;C142,J148,0)</f>
        <v>0</v>
      </c>
      <c r="J149" s="29">
        <f>IF(C163&gt;C142,C163,0)</f>
        <v>0</v>
      </c>
      <c r="K149" s="1">
        <f>IF(I149&lt;&gt;0,L148,0)</f>
        <v>0</v>
      </c>
      <c r="L149" s="1">
        <f>IF(J149&gt;0,IF(C163&gt;=C142,J142,IF(AND(C163&gt;B142,C163&lt;C142),J142,0)),0)</f>
        <v>0</v>
      </c>
      <c r="M149" s="81">
        <f>(J149-I149)*(K149+L149)/2</f>
        <v>0</v>
      </c>
      <c r="O149" s="83">
        <v>4</v>
      </c>
      <c r="P149" s="82">
        <f>IF(C165&gt;C142,Q148,0)</f>
        <v>0</v>
      </c>
      <c r="Q149" s="82">
        <f>IF(C165&gt;C142,C165,0)</f>
        <v>0</v>
      </c>
      <c r="R149" s="1">
        <f>IF(P149&lt;&gt;0,S148,0)</f>
        <v>0</v>
      </c>
      <c r="S149" s="1">
        <f>IF(Q149&gt;0,IF(C165&gt;=C142,J142,IF(AND(C165&gt;B142,C165&lt;C142),J142,0)),0)</f>
        <v>0</v>
      </c>
      <c r="T149" s="81">
        <f>(Q149-P149)*(R149+S149)/2</f>
        <v>0</v>
      </c>
      <c r="V149" s="83">
        <v>4</v>
      </c>
      <c r="W149" s="82">
        <f>IF(C166&gt;C142,X148,0)</f>
        <v>0</v>
      </c>
      <c r="X149" s="82">
        <f>IF(R142&gt;C142,R142,IF(AND(R142&gt;C142,R142&lt;C142),R142,0))</f>
        <v>0</v>
      </c>
      <c r="Y149" s="1">
        <f>IF(W149&lt;&gt;0,MIN(D143,T142),0)</f>
        <v>0</v>
      </c>
      <c r="Z149" s="1">
        <f>IF(X149&gt;0,IF(X149&gt;=C142,T142,IF(AND(X149&gt;B142,X149&lt;C142),T142,0)),0)</f>
        <v>0</v>
      </c>
      <c r="AA149" s="81">
        <f>(X149-W149)*(Y149+Z149)/2</f>
        <v>0</v>
      </c>
      <c r="AC149" s="83">
        <v>4</v>
      </c>
      <c r="AD149" s="82">
        <f>IF(J166&gt;C142,AE148,0)</f>
        <v>0</v>
      </c>
      <c r="AE149" s="82">
        <f>IF(Y142&gt;J142,Y142,IF(AND(Y142&gt;J142,Y142&lt;J142),Y142,0))</f>
        <v>0</v>
      </c>
      <c r="AF149" s="1">
        <f>IF(AD149&lt;&gt;0,MIN(D143,X142),0)</f>
        <v>0</v>
      </c>
      <c r="AG149" s="1">
        <f>IF(AE149&gt;0,IF(AE149&gt;=C142,X142,IF(AND(AE149&gt;B142,AE149&lt;C142),X142,0)),0)</f>
        <v>0</v>
      </c>
      <c r="AH149" s="81">
        <f>(AE149-AD149)*(AF149+AG149)/2</f>
        <v>0</v>
      </c>
    </row>
    <row r="150" spans="1:34" ht="15.75" thickBot="1" x14ac:dyDescent="0.3">
      <c r="A150" s="99"/>
      <c r="B150" s="98"/>
      <c r="C150" s="98"/>
      <c r="D150" s="196"/>
      <c r="E150" s="196"/>
      <c r="F150" s="78">
        <f>SUM(F146:F149)</f>
        <v>0</v>
      </c>
      <c r="G150" s="197"/>
      <c r="H150" s="99"/>
      <c r="I150" s="98"/>
      <c r="J150" s="98"/>
      <c r="K150" s="196"/>
      <c r="L150" s="196"/>
      <c r="M150" s="78">
        <f>SUM(M146:M149)</f>
        <v>1440</v>
      </c>
      <c r="O150" s="80"/>
      <c r="P150" s="79"/>
      <c r="Q150" s="79"/>
      <c r="R150" s="79"/>
      <c r="S150" s="79"/>
      <c r="T150" s="78">
        <f>SUM(T146:T149)</f>
        <v>1440</v>
      </c>
      <c r="V150" s="80"/>
      <c r="W150" s="79"/>
      <c r="X150" s="79"/>
      <c r="Y150" s="79"/>
      <c r="Z150" s="79"/>
      <c r="AA150" s="78">
        <f>SUM(AA146:AA149)</f>
        <v>440</v>
      </c>
      <c r="AC150" s="80"/>
      <c r="AD150" s="79"/>
      <c r="AE150" s="79"/>
      <c r="AF150" s="79"/>
      <c r="AG150" s="79"/>
      <c r="AH150" s="78">
        <f>SUM(AH146:AH149)</f>
        <v>440</v>
      </c>
    </row>
    <row r="151" spans="1:34" ht="15.75" thickBot="1" x14ac:dyDescent="0.3"/>
    <row r="152" spans="1:34" ht="15.75" thickBot="1" x14ac:dyDescent="0.3">
      <c r="A152" s="77" t="s">
        <v>29</v>
      </c>
      <c r="B152" s="55"/>
      <c r="C152" s="55"/>
      <c r="D152" s="55"/>
      <c r="E152" s="12"/>
      <c r="F152" s="156" t="s">
        <v>79</v>
      </c>
      <c r="G152" s="155"/>
      <c r="H152" s="155"/>
      <c r="I152" s="155"/>
      <c r="J152" s="156"/>
      <c r="K152" s="195"/>
      <c r="L152" s="194"/>
      <c r="M152" s="41" t="s">
        <v>91</v>
      </c>
      <c r="N152" s="40"/>
      <c r="O152" s="40"/>
      <c r="P152" s="40"/>
      <c r="Q152" s="41"/>
      <c r="R152" s="44"/>
      <c r="S152" s="72"/>
      <c r="T152" s="41" t="s">
        <v>78</v>
      </c>
      <c r="U152" s="40"/>
      <c r="V152" s="40"/>
      <c r="W152" s="40"/>
      <c r="X152" s="41"/>
      <c r="Y152" s="44"/>
      <c r="AA152" s="41" t="s">
        <v>77</v>
      </c>
      <c r="AB152" s="40"/>
      <c r="AC152" s="40"/>
      <c r="AD152" s="40"/>
      <c r="AE152" s="193"/>
    </row>
    <row r="153" spans="1:34" ht="15.75" thickBot="1" x14ac:dyDescent="0.3">
      <c r="A153" s="70" t="s">
        <v>76</v>
      </c>
      <c r="B153" s="192"/>
      <c r="C153" s="191"/>
      <c r="D153" s="191"/>
      <c r="E153" s="67"/>
      <c r="F153" s="156" t="s">
        <v>12</v>
      </c>
      <c r="G153" s="155"/>
      <c r="H153" s="155"/>
      <c r="I153" s="156"/>
      <c r="J153" s="190" t="s">
        <v>11</v>
      </c>
      <c r="K153" s="154"/>
      <c r="L153" s="147"/>
      <c r="M153" s="41" t="s">
        <v>12</v>
      </c>
      <c r="N153" s="40"/>
      <c r="O153" s="40"/>
      <c r="P153" s="41"/>
      <c r="Q153" s="40" t="s">
        <v>11</v>
      </c>
      <c r="R153" s="39"/>
      <c r="S153" s="5"/>
      <c r="T153" s="41" t="s">
        <v>12</v>
      </c>
      <c r="U153" s="40"/>
      <c r="V153" s="40"/>
      <c r="W153" s="41"/>
      <c r="X153" s="40" t="s">
        <v>11</v>
      </c>
      <c r="Y153" s="39"/>
      <c r="AA153" s="41" t="s">
        <v>12</v>
      </c>
      <c r="AB153" s="40"/>
      <c r="AC153" s="40"/>
      <c r="AD153" s="41"/>
      <c r="AE153" s="39" t="s">
        <v>11</v>
      </c>
    </row>
    <row r="154" spans="1:34" x14ac:dyDescent="0.25">
      <c r="A154" s="189" t="s">
        <v>75</v>
      </c>
      <c r="B154" s="188"/>
      <c r="C154" s="187">
        <v>0</v>
      </c>
      <c r="D154" s="186"/>
      <c r="E154">
        <v>0</v>
      </c>
      <c r="F154" s="185" t="s">
        <v>56</v>
      </c>
      <c r="G154" s="184"/>
      <c r="H154" s="184"/>
      <c r="I154" s="184"/>
      <c r="J154" s="85">
        <f>C154*C155</f>
        <v>0</v>
      </c>
      <c r="K154" s="183"/>
      <c r="L154" s="6"/>
      <c r="M154" s="151"/>
      <c r="N154" s="150"/>
      <c r="O154" s="150"/>
      <c r="P154" s="150"/>
      <c r="Q154" s="149"/>
      <c r="R154" s="148"/>
      <c r="S154" s="6"/>
      <c r="T154" s="151"/>
      <c r="U154" s="150"/>
      <c r="V154" s="150"/>
      <c r="W154" s="150"/>
      <c r="X154" s="149"/>
      <c r="Y154" s="148"/>
      <c r="AA154" s="151"/>
      <c r="AB154" s="150"/>
      <c r="AC154" s="150"/>
      <c r="AD154" s="150"/>
      <c r="AE154" s="182"/>
    </row>
    <row r="155" spans="1:34" x14ac:dyDescent="0.25">
      <c r="A155" s="181" t="s">
        <v>26</v>
      </c>
      <c r="B155" s="180"/>
      <c r="C155" s="179">
        <v>0</v>
      </c>
      <c r="D155" s="178"/>
      <c r="F155" s="47" t="str">
        <f>" "</f>
        <v xml:space="preserve"> </v>
      </c>
      <c r="G155" s="63"/>
      <c r="H155" s="63"/>
      <c r="I155" s="63"/>
      <c r="J155" s="1"/>
      <c r="K155" s="167"/>
      <c r="L155" s="6"/>
      <c r="M155" s="36" t="s">
        <v>74</v>
      </c>
      <c r="N155" s="19"/>
      <c r="O155" s="19"/>
      <c r="P155" s="19"/>
      <c r="Q155" s="18">
        <f>C173*C174*C181</f>
        <v>126</v>
      </c>
      <c r="R155" s="17"/>
      <c r="S155" s="3"/>
      <c r="T155" s="36" t="s">
        <v>74</v>
      </c>
      <c r="U155" s="19"/>
      <c r="V155" s="19"/>
      <c r="W155" s="19"/>
      <c r="X155" s="18">
        <f>C173*C174*C178</f>
        <v>119</v>
      </c>
      <c r="Y155" s="17"/>
      <c r="AA155" s="135" t="s">
        <v>73</v>
      </c>
      <c r="AB155" s="19"/>
      <c r="AC155" s="19"/>
      <c r="AD155" s="19"/>
      <c r="AE155" s="166">
        <f>J154</f>
        <v>0</v>
      </c>
    </row>
    <row r="156" spans="1:34" x14ac:dyDescent="0.25">
      <c r="A156" s="181" t="s">
        <v>23</v>
      </c>
      <c r="B156" s="180"/>
      <c r="C156" s="179">
        <v>0</v>
      </c>
      <c r="D156" s="178"/>
      <c r="F156" s="130" t="str">
        <f>"DA Incremental Cost @ "&amp;C154&amp;" MW"</f>
        <v>DA Incremental Cost @ 0 MW</v>
      </c>
      <c r="G156" s="129"/>
      <c r="H156" s="129"/>
      <c r="I156" s="129"/>
      <c r="J156" s="1">
        <f>F150</f>
        <v>0</v>
      </c>
      <c r="K156" s="167"/>
      <c r="L156" s="6"/>
      <c r="M156" s="36"/>
      <c r="N156" s="35"/>
      <c r="O156" s="35"/>
      <c r="P156" s="35"/>
      <c r="Q156" s="18"/>
      <c r="R156" s="17"/>
      <c r="S156" s="6"/>
      <c r="T156" s="36"/>
      <c r="U156" s="35"/>
      <c r="V156" s="35"/>
      <c r="W156" s="35"/>
      <c r="X156" s="18"/>
      <c r="Y156" s="17"/>
      <c r="AA156" s="36"/>
      <c r="AB156" s="35"/>
      <c r="AC156" s="35"/>
      <c r="AD156" s="35"/>
      <c r="AE156" s="166"/>
    </row>
    <row r="157" spans="1:34" x14ac:dyDescent="0.25">
      <c r="A157" s="181" t="s">
        <v>22</v>
      </c>
      <c r="B157" s="180"/>
      <c r="C157" s="179">
        <v>0</v>
      </c>
      <c r="D157" s="178"/>
      <c r="E157" s="54"/>
      <c r="F157" s="130" t="s">
        <v>72</v>
      </c>
      <c r="G157" s="129"/>
      <c r="H157" s="129"/>
      <c r="I157" s="129"/>
      <c r="J157" s="1">
        <f>C157</f>
        <v>0</v>
      </c>
      <c r="K157" s="167"/>
      <c r="L157" s="6"/>
      <c r="M157" s="135" t="s">
        <v>51</v>
      </c>
      <c r="N157" s="19"/>
      <c r="O157" s="19"/>
      <c r="P157" s="19"/>
      <c r="Q157" s="18"/>
      <c r="R157" s="17"/>
      <c r="S157" s="6"/>
      <c r="T157" s="135" t="s">
        <v>51</v>
      </c>
      <c r="U157" s="19"/>
      <c r="V157" s="19"/>
      <c r="W157" s="19"/>
      <c r="X157" s="18"/>
      <c r="Y157" s="17"/>
      <c r="AA157" s="135" t="s">
        <v>71</v>
      </c>
      <c r="AB157" s="19"/>
      <c r="AC157" s="19"/>
      <c r="AD157" s="19"/>
      <c r="AE157" s="166">
        <f>Q172</f>
        <v>1050</v>
      </c>
    </row>
    <row r="158" spans="1:34" x14ac:dyDescent="0.25">
      <c r="A158" s="177" t="s">
        <v>70</v>
      </c>
      <c r="B158" s="176"/>
      <c r="C158" s="175">
        <v>50</v>
      </c>
      <c r="D158" s="174"/>
      <c r="F158" s="130" t="s">
        <v>69</v>
      </c>
      <c r="G158" s="129"/>
      <c r="H158" s="129"/>
      <c r="I158" s="129"/>
      <c r="J158" s="1">
        <f>C156</f>
        <v>0</v>
      </c>
      <c r="K158" s="167"/>
      <c r="L158" s="6"/>
      <c r="M158" s="36" t="s">
        <v>68</v>
      </c>
      <c r="N158" s="35"/>
      <c r="O158" s="35"/>
      <c r="P158" s="35"/>
      <c r="Q158" s="18">
        <f>ABS(AA150-(MAX(R140:R142)-MAX(Q140:Q142))*C164)/C181*C181</f>
        <v>140</v>
      </c>
      <c r="R158" s="17"/>
      <c r="S158" s="3"/>
      <c r="T158" s="36" t="s">
        <v>68</v>
      </c>
      <c r="U158" s="35"/>
      <c r="V158" s="35"/>
      <c r="W158" s="35"/>
      <c r="X158" s="18">
        <f>ABS(AH150-(MAX(V140:V142)-MAX(U140:U142))*C164)/C181*C178</f>
        <v>132.2222222222222</v>
      </c>
      <c r="Y158" s="17"/>
      <c r="AA158" s="36"/>
      <c r="AB158" s="35"/>
      <c r="AC158" s="35"/>
      <c r="AD158" s="35"/>
      <c r="AE158" s="166"/>
    </row>
    <row r="159" spans="1:34" ht="15.75" thickBot="1" x14ac:dyDescent="0.3">
      <c r="A159" s="173" t="s">
        <v>67</v>
      </c>
      <c r="B159" s="172"/>
      <c r="C159" s="171">
        <v>100</v>
      </c>
      <c r="D159" s="170"/>
      <c r="F159" s="47" t="str">
        <f>" "</f>
        <v xml:space="preserve"> </v>
      </c>
      <c r="G159" s="63"/>
      <c r="H159" s="63"/>
      <c r="I159" s="63"/>
      <c r="J159" s="1"/>
      <c r="K159" s="167"/>
      <c r="L159" s="6"/>
      <c r="M159" s="20"/>
      <c r="N159" s="19"/>
      <c r="O159" s="19"/>
      <c r="P159" s="19"/>
      <c r="Q159" s="18"/>
      <c r="R159" s="17"/>
      <c r="S159" s="6"/>
      <c r="T159" s="20"/>
      <c r="U159" s="19"/>
      <c r="V159" s="19"/>
      <c r="W159" s="19"/>
      <c r="X159" s="18"/>
      <c r="Y159" s="17"/>
      <c r="AA159" s="20" t="s">
        <v>66</v>
      </c>
      <c r="AB159" s="19"/>
      <c r="AC159" s="19"/>
      <c r="AD159" s="19"/>
      <c r="AE159" s="169">
        <f>X162</f>
        <v>132.2222222222222</v>
      </c>
    </row>
    <row r="160" spans="1:34" x14ac:dyDescent="0.25">
      <c r="C160" s="54"/>
      <c r="D160" s="54"/>
      <c r="F160" s="130" t="s">
        <v>65</v>
      </c>
      <c r="G160" s="129"/>
      <c r="H160" s="129"/>
      <c r="I160" s="129"/>
      <c r="J160" s="133">
        <f>J154-J156-J157-J158</f>
        <v>0</v>
      </c>
      <c r="K160" s="168"/>
      <c r="L160" s="48"/>
      <c r="M160" s="36" t="s">
        <v>64</v>
      </c>
      <c r="N160" s="35"/>
      <c r="O160" s="35"/>
      <c r="P160" s="35"/>
      <c r="Q160" s="18">
        <f>MAX(Q157+Q158-Q155,0)</f>
        <v>14</v>
      </c>
      <c r="R160" s="17"/>
      <c r="S160" s="3"/>
      <c r="T160" s="36" t="s">
        <v>64</v>
      </c>
      <c r="U160" s="35"/>
      <c r="V160" s="35"/>
      <c r="W160" s="35"/>
      <c r="X160" s="18">
        <f>MAX(X157+X158-X155,0)</f>
        <v>13.2222222222222</v>
      </c>
      <c r="Y160" s="17"/>
      <c r="AA160" s="36"/>
      <c r="AB160" s="35"/>
      <c r="AC160" s="35"/>
      <c r="AD160" s="35"/>
      <c r="AE160" s="166"/>
    </row>
    <row r="161" spans="1:33" ht="15.75" thickBot="1" x14ac:dyDescent="0.3">
      <c r="A161" s="77" t="s">
        <v>29</v>
      </c>
      <c r="B161" s="55"/>
      <c r="C161" s="55"/>
      <c r="D161" s="55"/>
      <c r="E161" s="55"/>
      <c r="F161" s="47" t="str">
        <f>" "</f>
        <v xml:space="preserve"> </v>
      </c>
      <c r="G161" s="63"/>
      <c r="H161" s="63"/>
      <c r="I161" s="63"/>
      <c r="J161" s="1"/>
      <c r="K161" s="167"/>
      <c r="L161" s="6"/>
      <c r="M161" s="20"/>
      <c r="N161" s="19"/>
      <c r="O161" s="19"/>
      <c r="P161" s="19"/>
      <c r="Q161" s="18"/>
      <c r="R161" s="17"/>
      <c r="S161" s="6"/>
      <c r="T161" s="20"/>
      <c r="U161" s="19"/>
      <c r="V161" s="19"/>
      <c r="W161" s="19"/>
      <c r="X161" s="18"/>
      <c r="Y161" s="17"/>
      <c r="AA161" s="20"/>
      <c r="AB161" s="19"/>
      <c r="AC161" s="19"/>
      <c r="AD161" s="19"/>
      <c r="AE161" s="166"/>
    </row>
    <row r="162" spans="1:33" ht="15.75" thickBot="1" x14ac:dyDescent="0.3">
      <c r="A162" s="70" t="s">
        <v>28</v>
      </c>
      <c r="B162" s="69"/>
      <c r="C162" s="68"/>
      <c r="D162" s="68"/>
      <c r="E162" s="54"/>
      <c r="F162" s="130" t="s">
        <v>54</v>
      </c>
      <c r="G162" s="129"/>
      <c r="H162" s="129"/>
      <c r="I162" s="129"/>
      <c r="J162" s="126">
        <f>MAX(J160*-1,0)</f>
        <v>0</v>
      </c>
      <c r="K162" s="165"/>
      <c r="L162" s="48"/>
      <c r="M162" s="36" t="s">
        <v>63</v>
      </c>
      <c r="N162" s="35"/>
      <c r="O162" s="35"/>
      <c r="P162" s="35"/>
      <c r="Q162" s="164">
        <f>Q155+Q160</f>
        <v>140</v>
      </c>
      <c r="R162" s="163"/>
      <c r="S162" s="3"/>
      <c r="T162" s="36" t="s">
        <v>63</v>
      </c>
      <c r="U162" s="35"/>
      <c r="V162" s="35"/>
      <c r="W162" s="35"/>
      <c r="X162" s="164">
        <f>X155+X160</f>
        <v>132.2222222222222</v>
      </c>
      <c r="Y162" s="163"/>
      <c r="AA162" s="36" t="s">
        <v>55</v>
      </c>
      <c r="AB162" s="35"/>
      <c r="AC162" s="35"/>
      <c r="AD162" s="35"/>
      <c r="AE162" s="162">
        <f>AE155+AE157+AE159-AE161</f>
        <v>1182.2222222222222</v>
      </c>
    </row>
    <row r="163" spans="1:33" ht="16.5" thickTop="1" thickBot="1" x14ac:dyDescent="0.3">
      <c r="A163" s="47" t="s">
        <v>27</v>
      </c>
      <c r="B163" s="28"/>
      <c r="C163" s="60">
        <v>70</v>
      </c>
      <c r="D163" s="27"/>
      <c r="F163" s="59" t="str">
        <f>" "</f>
        <v xml:space="preserve"> </v>
      </c>
      <c r="G163" s="108"/>
      <c r="H163" s="108"/>
      <c r="I163" s="108"/>
      <c r="J163" s="23"/>
      <c r="K163" s="161"/>
      <c r="L163" s="6"/>
      <c r="M163" s="10" t="s">
        <v>92</v>
      </c>
      <c r="N163" s="9"/>
      <c r="O163" s="9"/>
      <c r="P163" s="9"/>
      <c r="Q163" s="8">
        <f>MAX(Q155-Q158,0)</f>
        <v>0</v>
      </c>
      <c r="R163" s="7"/>
      <c r="S163" s="6"/>
      <c r="T163" s="10" t="s">
        <v>92</v>
      </c>
      <c r="U163" s="9"/>
      <c r="V163" s="9"/>
      <c r="W163" s="9"/>
      <c r="X163" s="8">
        <f>MAX(X155-X158,0)</f>
        <v>0</v>
      </c>
      <c r="Y163" s="7"/>
      <c r="AA163" s="10" t="str">
        <f>" "</f>
        <v xml:space="preserve"> </v>
      </c>
      <c r="AB163" s="9"/>
      <c r="AC163" s="9"/>
      <c r="AD163" s="9"/>
      <c r="AE163" s="160"/>
    </row>
    <row r="164" spans="1:33" x14ac:dyDescent="0.25">
      <c r="A164" s="30" t="s">
        <v>26</v>
      </c>
      <c r="B164" s="66"/>
      <c r="C164" s="1">
        <v>15</v>
      </c>
      <c r="D164" s="61"/>
      <c r="F164" s="50"/>
      <c r="G164" s="49"/>
      <c r="H164" s="49"/>
      <c r="I164" s="49"/>
      <c r="J164" s="48"/>
      <c r="K164" s="6"/>
      <c r="L164" s="6"/>
      <c r="M164" s="6"/>
      <c r="N164" s="6"/>
      <c r="O164" s="6"/>
      <c r="P164" s="6"/>
      <c r="Q164" s="48"/>
      <c r="R164" s="6"/>
      <c r="S164" s="6"/>
      <c r="T164" s="6"/>
      <c r="U164" s="6"/>
    </row>
    <row r="165" spans="1:33" ht="15.75" thickBot="1" x14ac:dyDescent="0.3">
      <c r="A165" s="63" t="s">
        <v>25</v>
      </c>
      <c r="B165" s="28"/>
      <c r="C165" s="60">
        <v>70</v>
      </c>
      <c r="D165" s="27"/>
      <c r="F165" s="159" t="s">
        <v>62</v>
      </c>
      <c r="G165" s="159"/>
      <c r="H165" s="159"/>
      <c r="I165" s="159"/>
      <c r="J165" s="159"/>
      <c r="K165" s="159"/>
      <c r="L165" s="158"/>
      <c r="M165" s="45" t="s">
        <v>61</v>
      </c>
      <c r="N165" s="45"/>
      <c r="O165" s="45"/>
      <c r="P165" s="45"/>
      <c r="Q165" s="55"/>
      <c r="R165" s="55"/>
      <c r="T165" s="233" t="s">
        <v>60</v>
      </c>
      <c r="U165" s="233"/>
      <c r="V165" s="233"/>
      <c r="W165" s="233"/>
      <c r="X165" s="234"/>
      <c r="Y165" s="234"/>
      <c r="AA165" s="29"/>
      <c r="AB165" s="45"/>
      <c r="AC165" s="45"/>
    </row>
    <row r="166" spans="1:33" ht="15.75" thickBot="1" x14ac:dyDescent="0.3">
      <c r="A166" s="63" t="s">
        <v>108</v>
      </c>
      <c r="B166" s="28"/>
      <c r="C166" s="60">
        <v>50</v>
      </c>
      <c r="D166" s="27"/>
      <c r="F166" s="156" t="s">
        <v>59</v>
      </c>
      <c r="G166" s="155"/>
      <c r="H166" s="155"/>
      <c r="I166" s="155"/>
      <c r="J166" s="157"/>
      <c r="K166" s="157"/>
      <c r="L166" s="5"/>
      <c r="M166" s="156" t="s">
        <v>58</v>
      </c>
      <c r="N166" s="155"/>
      <c r="O166" s="155"/>
      <c r="P166" s="155"/>
      <c r="Q166" s="157"/>
      <c r="R166" s="157"/>
      <c r="T166" s="235" t="s">
        <v>113</v>
      </c>
      <c r="U166" s="236"/>
      <c r="V166" s="236"/>
      <c r="W166" s="236"/>
      <c r="X166" s="237"/>
      <c r="Y166" s="237"/>
      <c r="AA166" s="63"/>
      <c r="AB166" s="41" t="s">
        <v>57</v>
      </c>
      <c r="AC166" s="40"/>
      <c r="AD166" s="40"/>
      <c r="AE166" s="40"/>
      <c r="AF166" s="41"/>
      <c r="AG166" s="44"/>
    </row>
    <row r="167" spans="1:33" ht="15.75" thickBot="1" x14ac:dyDescent="0.3">
      <c r="A167" s="30" t="s">
        <v>23</v>
      </c>
      <c r="B167" s="29"/>
      <c r="C167" s="1">
        <v>0</v>
      </c>
      <c r="D167" s="61"/>
      <c r="F167" s="59" t="s">
        <v>12</v>
      </c>
      <c r="G167" s="108"/>
      <c r="H167" s="156"/>
      <c r="I167" s="155"/>
      <c r="J167" s="154" t="s">
        <v>11</v>
      </c>
      <c r="K167" s="154"/>
      <c r="L167" s="6"/>
      <c r="M167" s="59" t="s">
        <v>12</v>
      </c>
      <c r="N167" s="108"/>
      <c r="O167" s="156"/>
      <c r="P167" s="155"/>
      <c r="Q167" s="154" t="s">
        <v>11</v>
      </c>
      <c r="R167" s="154"/>
      <c r="T167" s="238" t="s">
        <v>12</v>
      </c>
      <c r="U167" s="239"/>
      <c r="V167" s="235"/>
      <c r="W167" s="236"/>
      <c r="X167" s="237" t="s">
        <v>11</v>
      </c>
      <c r="Y167" s="237"/>
      <c r="AA167" s="63"/>
      <c r="AB167" s="41" t="s">
        <v>12</v>
      </c>
      <c r="AC167" s="40"/>
      <c r="AD167" s="40"/>
      <c r="AE167" s="41"/>
      <c r="AF167" s="40" t="s">
        <v>11</v>
      </c>
      <c r="AG167" s="39"/>
    </row>
    <row r="168" spans="1:33" x14ac:dyDescent="0.25">
      <c r="A168" s="62" t="s">
        <v>22</v>
      </c>
      <c r="B168" s="29"/>
      <c r="C168" s="1">
        <v>0</v>
      </c>
      <c r="D168" s="61"/>
      <c r="F168" s="153" t="s">
        <v>56</v>
      </c>
      <c r="G168" s="52"/>
      <c r="H168" s="52"/>
      <c r="I168" s="52"/>
      <c r="J168" s="85">
        <f>J154</f>
        <v>0</v>
      </c>
      <c r="K168" s="152"/>
      <c r="L168" s="3"/>
      <c r="M168" s="153" t="s">
        <v>56</v>
      </c>
      <c r="N168" s="52"/>
      <c r="O168" s="52"/>
      <c r="P168" s="52"/>
      <c r="Q168" s="85">
        <f>J154</f>
        <v>0</v>
      </c>
      <c r="R168" s="152"/>
      <c r="T168" s="240" t="s">
        <v>56</v>
      </c>
      <c r="U168" s="241"/>
      <c r="V168" s="241"/>
      <c r="W168" s="241"/>
      <c r="X168" s="242">
        <f>J154</f>
        <v>0</v>
      </c>
      <c r="Y168" s="243"/>
      <c r="AA168" s="28"/>
      <c r="AB168" s="151"/>
      <c r="AC168" s="150"/>
      <c r="AD168" s="150"/>
      <c r="AE168" s="150"/>
      <c r="AF168" s="149"/>
      <c r="AG168" s="148"/>
    </row>
    <row r="169" spans="1:33" x14ac:dyDescent="0.25">
      <c r="A169" s="47" t="s">
        <v>21</v>
      </c>
      <c r="B169" s="28"/>
      <c r="C169" s="60">
        <v>50</v>
      </c>
      <c r="D169" s="27"/>
      <c r="F169" s="47" t="str">
        <f>" "</f>
        <v xml:space="preserve"> </v>
      </c>
      <c r="G169" s="63"/>
      <c r="H169" s="63"/>
      <c r="I169" s="63"/>
      <c r="J169" s="1"/>
      <c r="K169" s="131"/>
      <c r="L169" s="6"/>
      <c r="M169" s="47" t="str">
        <f>" "</f>
        <v xml:space="preserve"> </v>
      </c>
      <c r="N169" s="63"/>
      <c r="O169" s="63"/>
      <c r="P169" s="63"/>
      <c r="Q169" s="1"/>
      <c r="R169" s="131"/>
      <c r="T169" s="244" t="str">
        <f>" "</f>
        <v xml:space="preserve"> </v>
      </c>
      <c r="U169" s="245"/>
      <c r="V169" s="245"/>
      <c r="W169" s="245"/>
      <c r="X169" s="246"/>
      <c r="Y169" s="247"/>
      <c r="AA169" s="63"/>
      <c r="AB169" s="20" t="s">
        <v>55</v>
      </c>
      <c r="AC169" s="19"/>
      <c r="AD169" s="19"/>
      <c r="AE169" s="19"/>
      <c r="AF169" s="18">
        <f>AE162</f>
        <v>1182.2222222222222</v>
      </c>
      <c r="AG169" s="17"/>
    </row>
    <row r="170" spans="1:33" ht="15.75" thickBot="1" x14ac:dyDescent="0.3">
      <c r="A170" s="59" t="s">
        <v>20</v>
      </c>
      <c r="B170" s="58"/>
      <c r="C170" s="57">
        <v>100</v>
      </c>
      <c r="D170" s="56"/>
      <c r="F170" s="130" t="s">
        <v>54</v>
      </c>
      <c r="G170" s="129"/>
      <c r="H170" s="129"/>
      <c r="I170" s="129"/>
      <c r="J170" s="1">
        <f>J162</f>
        <v>0</v>
      </c>
      <c r="K170" s="131"/>
      <c r="L170" s="3"/>
      <c r="M170" s="130" t="s">
        <v>54</v>
      </c>
      <c r="N170" s="129"/>
      <c r="O170" s="129"/>
      <c r="P170" s="129"/>
      <c r="Q170" s="1">
        <f>J162</f>
        <v>0</v>
      </c>
      <c r="R170" s="131"/>
      <c r="T170" s="248" t="s">
        <v>54</v>
      </c>
      <c r="U170" s="249"/>
      <c r="V170" s="249"/>
      <c r="W170" s="249"/>
      <c r="X170" s="246">
        <f>J162</f>
        <v>0</v>
      </c>
      <c r="Y170" s="247"/>
      <c r="AA170" s="129"/>
      <c r="AB170" s="36"/>
      <c r="AC170" s="35"/>
      <c r="AD170" s="35"/>
      <c r="AE170" s="35"/>
      <c r="AF170" s="18"/>
      <c r="AG170" s="17"/>
    </row>
    <row r="171" spans="1:33" x14ac:dyDescent="0.25">
      <c r="F171" s="47" t="str">
        <f>" "</f>
        <v xml:space="preserve"> </v>
      </c>
      <c r="G171" s="63"/>
      <c r="H171" s="63"/>
      <c r="I171" s="63"/>
      <c r="J171" s="1"/>
      <c r="K171" s="131"/>
      <c r="L171" s="147"/>
      <c r="M171" s="47" t="str">
        <f>" "</f>
        <v xml:space="preserve"> </v>
      </c>
      <c r="N171" s="63"/>
      <c r="O171" s="63"/>
      <c r="P171" s="63"/>
      <c r="Q171" s="1"/>
      <c r="R171" s="131"/>
      <c r="T171" s="244" t="str">
        <f>" "</f>
        <v xml:space="preserve"> </v>
      </c>
      <c r="U171" s="245"/>
      <c r="V171" s="245"/>
      <c r="W171" s="245"/>
      <c r="X171" s="246"/>
      <c r="Y171" s="247"/>
      <c r="AA171" s="63"/>
      <c r="AB171" s="135" t="str">
        <f>"RT Incremental Cost @ "&amp;C163&amp;" MW"</f>
        <v>RT Incremental Cost @ 70 MW</v>
      </c>
      <c r="AC171" s="19"/>
      <c r="AD171" s="19"/>
      <c r="AE171" s="19"/>
      <c r="AF171" s="18">
        <f>Q177</f>
        <v>1440</v>
      </c>
      <c r="AG171" s="17"/>
    </row>
    <row r="172" spans="1:33" ht="30" x14ac:dyDescent="0.25">
      <c r="A172" t="s">
        <v>19</v>
      </c>
      <c r="F172" s="130" t="s">
        <v>53</v>
      </c>
      <c r="G172" s="129"/>
      <c r="H172" s="129"/>
      <c r="I172" s="129"/>
      <c r="J172" s="1">
        <f>(C165-C154)*C164</f>
        <v>1050</v>
      </c>
      <c r="K172" s="131"/>
      <c r="L172" s="4"/>
      <c r="M172" s="130" t="s">
        <v>52</v>
      </c>
      <c r="N172" s="129"/>
      <c r="O172" s="129"/>
      <c r="P172" s="129"/>
      <c r="Q172" s="1">
        <f>(C163-C154)*C164</f>
        <v>1050</v>
      </c>
      <c r="R172" s="131"/>
      <c r="T172" s="248" t="s">
        <v>111</v>
      </c>
      <c r="U172" s="249"/>
      <c r="V172" s="249"/>
      <c r="W172" s="249"/>
      <c r="X172" s="246">
        <f>(C166-C154)*C164</f>
        <v>750</v>
      </c>
      <c r="Y172" s="247"/>
      <c r="AA172" s="129"/>
      <c r="AB172" s="36" t="s">
        <v>49</v>
      </c>
      <c r="AC172" s="35"/>
      <c r="AD172" s="35"/>
      <c r="AE172" s="35"/>
      <c r="AF172" s="18">
        <f>Q178</f>
        <v>0</v>
      </c>
      <c r="AG172" s="17"/>
    </row>
    <row r="173" spans="1:33" x14ac:dyDescent="0.25">
      <c r="A173" t="s">
        <v>18</v>
      </c>
      <c r="C173" s="55">
        <v>20</v>
      </c>
      <c r="D173" s="55"/>
      <c r="F173" s="209" t="str">
        <f>"Company Responsible Losses @ "&amp;IF(AND(C170&lt;C159,C154&gt;0),MAX(C154-MAX(C170,C166),0),0)&amp;" MW"</f>
        <v>Company Responsible Losses @ 0 MW</v>
      </c>
      <c r="G173" s="210"/>
      <c r="H173" s="210"/>
      <c r="I173" s="210"/>
      <c r="J173" s="1">
        <f>IF(AND(C170&lt;C159,C154&gt;0),MAX(C154-MAX(C166,C170),0)*MIN(C155-C164,0),0)</f>
        <v>0</v>
      </c>
      <c r="K173" s="131"/>
      <c r="L173" s="137"/>
      <c r="Q173" s="1">
        <f>Q157</f>
        <v>0</v>
      </c>
      <c r="R173" s="131"/>
      <c r="T173" s="250" t="str">
        <f>"Company Responsible Losses @ "&amp;IF(AND(C170&lt;C159,C154&gt;0),MAX(C154-MAX(C170,C166),0),0)&amp;" MW"</f>
        <v>Company Responsible Losses @ 0 MW</v>
      </c>
      <c r="U173" s="251"/>
      <c r="V173" s="251"/>
      <c r="W173" s="251"/>
      <c r="X173" s="246">
        <f>IF(AND(C170&lt;C159,C154&gt;0),MAX(C154-MAX(C166,C170),0)*MIN(C155-C164,0),0)</f>
        <v>0</v>
      </c>
      <c r="Y173" s="247"/>
      <c r="AA173" s="2"/>
      <c r="AB173" s="135" t="s">
        <v>47</v>
      </c>
      <c r="AC173" s="19"/>
      <c r="AD173" s="19"/>
      <c r="AE173" s="19"/>
      <c r="AF173" s="146">
        <f>Q179</f>
        <v>0</v>
      </c>
      <c r="AG173" s="145"/>
    </row>
    <row r="174" spans="1:33" x14ac:dyDescent="0.25">
      <c r="A174" s="144" t="s">
        <v>17</v>
      </c>
      <c r="B174" s="143"/>
      <c r="C174" s="1">
        <v>7</v>
      </c>
      <c r="D174" s="55"/>
      <c r="F174" s="142" t="s">
        <v>51</v>
      </c>
      <c r="G174" s="141"/>
      <c r="H174" s="141"/>
      <c r="I174" s="141"/>
      <c r="J174" s="140">
        <f>Q158</f>
        <v>140</v>
      </c>
      <c r="K174" s="139"/>
      <c r="L174" s="137"/>
      <c r="M174" s="142" t="s">
        <v>51</v>
      </c>
      <c r="N174" s="141"/>
      <c r="O174" s="141"/>
      <c r="P174" s="141"/>
      <c r="Q174" s="140">
        <f>X158</f>
        <v>132.2222222222222</v>
      </c>
      <c r="R174" s="139"/>
      <c r="T174" s="244"/>
      <c r="U174" s="245"/>
      <c r="V174" s="245"/>
      <c r="W174" s="245"/>
      <c r="X174" s="246"/>
      <c r="Y174" s="247"/>
      <c r="AA174" s="129"/>
      <c r="AB174" s="36"/>
      <c r="AC174" s="35"/>
      <c r="AD174" s="35"/>
      <c r="AE174" s="35"/>
      <c r="AF174" s="18"/>
      <c r="AG174" s="17"/>
    </row>
    <row r="175" spans="1:33" x14ac:dyDescent="0.25">
      <c r="A175" s="115" t="s">
        <v>16</v>
      </c>
      <c r="C175" s="55">
        <v>0</v>
      </c>
      <c r="D175" s="55"/>
      <c r="F175" s="47"/>
      <c r="G175" s="63"/>
      <c r="H175" s="63"/>
      <c r="I175" s="63"/>
      <c r="J175" s="1"/>
      <c r="K175" s="131"/>
      <c r="L175" s="137"/>
      <c r="M175" s="136"/>
      <c r="N175" s="2"/>
      <c r="O175" s="2"/>
      <c r="P175" s="2"/>
      <c r="Q175" s="1"/>
      <c r="R175" s="131"/>
      <c r="T175" s="244"/>
      <c r="U175" s="245"/>
      <c r="V175" s="245"/>
      <c r="W175" s="245"/>
      <c r="X175" s="246"/>
      <c r="Y175" s="247"/>
      <c r="AA175" s="129"/>
      <c r="AB175" s="135" t="s">
        <v>50</v>
      </c>
      <c r="AC175" s="19"/>
      <c r="AD175" s="19"/>
      <c r="AE175" s="19"/>
      <c r="AF175" s="18">
        <f>AF169-AF171-AF172-AF173</f>
        <v>-257.77777777777783</v>
      </c>
      <c r="AG175" s="17"/>
    </row>
    <row r="176" spans="1:33" x14ac:dyDescent="0.25">
      <c r="A176" s="115" t="s">
        <v>14</v>
      </c>
      <c r="B176" s="120"/>
      <c r="C176" s="55">
        <v>100</v>
      </c>
      <c r="D176" s="55"/>
      <c r="E176" s="138"/>
      <c r="F176" s="47"/>
      <c r="G176" s="63"/>
      <c r="H176" s="63"/>
      <c r="I176" s="63"/>
      <c r="J176" s="1"/>
      <c r="K176" s="131"/>
      <c r="L176" s="137"/>
      <c r="M176" s="136"/>
      <c r="N176" s="2"/>
      <c r="O176" s="2"/>
      <c r="P176" s="2"/>
      <c r="Q176" s="1"/>
      <c r="R176" s="131"/>
      <c r="T176" s="244"/>
      <c r="U176" s="245"/>
      <c r="V176" s="245"/>
      <c r="W176" s="245"/>
      <c r="X176" s="246"/>
      <c r="Y176" s="247"/>
      <c r="AA176" s="129"/>
      <c r="AB176" s="135"/>
      <c r="AC176" s="19"/>
      <c r="AD176" s="19"/>
      <c r="AE176" s="19"/>
      <c r="AF176" s="18"/>
      <c r="AG176" s="17"/>
    </row>
    <row r="177" spans="1:33" ht="15.75" thickBot="1" x14ac:dyDescent="0.3">
      <c r="A177" s="115" t="s">
        <v>13</v>
      </c>
      <c r="B177" s="120"/>
      <c r="C177" s="55">
        <v>50</v>
      </c>
      <c r="D177" s="55"/>
      <c r="F177" s="130" t="str">
        <f>"RT Incremental Cost @ "&amp;C165&amp;" MW"</f>
        <v>RT Incremental Cost @ 70 MW</v>
      </c>
      <c r="G177" s="129"/>
      <c r="H177" s="129"/>
      <c r="I177" s="129"/>
      <c r="J177" s="1">
        <f>T150</f>
        <v>1440</v>
      </c>
      <c r="K177" s="131"/>
      <c r="L177" s="134"/>
      <c r="M177" s="130" t="str">
        <f>"RT Incremental Cost @ "&amp;C163&amp;" MW"</f>
        <v>RT Incremental Cost @ 70 MW</v>
      </c>
      <c r="N177" s="129"/>
      <c r="O177" s="129"/>
      <c r="P177" s="129"/>
      <c r="Q177" s="1">
        <f>M150</f>
        <v>1440</v>
      </c>
      <c r="R177" s="131"/>
      <c r="T177" s="248" t="str">
        <f>"RT Incremental Cost @ "&amp;C166&amp;" MW"</f>
        <v>RT Incremental Cost @ 50 MW</v>
      </c>
      <c r="U177" s="249"/>
      <c r="V177" s="249"/>
      <c r="W177" s="249"/>
      <c r="X177" s="246">
        <v>1000</v>
      </c>
      <c r="Y177" s="247"/>
      <c r="AA177" s="63"/>
      <c r="AB177" s="10" t="s">
        <v>93</v>
      </c>
      <c r="AC177" s="9"/>
      <c r="AD177" s="9"/>
      <c r="AE177" s="9"/>
      <c r="AF177" s="8">
        <f>AF175-X163</f>
        <v>-257.77777777777783</v>
      </c>
      <c r="AG177" s="7"/>
    </row>
    <row r="178" spans="1:33" x14ac:dyDescent="0.25">
      <c r="A178" s="115" t="s">
        <v>10</v>
      </c>
      <c r="B178" s="120"/>
      <c r="C178" s="55">
        <v>0.85</v>
      </c>
      <c r="D178" s="55"/>
      <c r="F178" s="130" t="s">
        <v>49</v>
      </c>
      <c r="G178" s="129"/>
      <c r="H178" s="129"/>
      <c r="I178" s="129"/>
      <c r="J178" s="1">
        <f>C168</f>
        <v>0</v>
      </c>
      <c r="K178" s="131"/>
      <c r="L178" s="6"/>
      <c r="M178" s="130" t="s">
        <v>49</v>
      </c>
      <c r="N178" s="129"/>
      <c r="O178" s="129"/>
      <c r="P178" s="129"/>
      <c r="Q178" s="1">
        <f>C168</f>
        <v>0</v>
      </c>
      <c r="R178" s="131"/>
      <c r="T178" s="248" t="s">
        <v>49</v>
      </c>
      <c r="U178" s="249"/>
      <c r="V178" s="249"/>
      <c r="W178" s="249"/>
      <c r="X178" s="246">
        <f>C168</f>
        <v>0</v>
      </c>
      <c r="Y178" s="247"/>
      <c r="AA178" s="127"/>
      <c r="AB178" s="127"/>
      <c r="AC178" s="127"/>
    </row>
    <row r="179" spans="1:33" x14ac:dyDescent="0.25">
      <c r="A179" s="115" t="s">
        <v>48</v>
      </c>
      <c r="C179" s="55">
        <f>IF(C177+C173&gt;C166,MIN((1+C175)*C173+C177,C163),IF(AND(C177+C173&lt;=C166,C176-C173&gt;=C166),IF(C175&gt;0,MIN(C175*C173+C166,C163),MAX(C175*C173+C166,C163)),MAX(C176-(1-C175)*C173,C163)))</f>
        <v>70</v>
      </c>
      <c r="D179" s="55"/>
      <c r="F179" s="130" t="s">
        <v>47</v>
      </c>
      <c r="G179" s="129"/>
      <c r="H179" s="129"/>
      <c r="I179" s="129"/>
      <c r="J179" s="1">
        <f>C167</f>
        <v>0</v>
      </c>
      <c r="K179" s="131"/>
      <c r="L179" s="6"/>
      <c r="M179" s="130" t="s">
        <v>47</v>
      </c>
      <c r="N179" s="129"/>
      <c r="O179" s="129"/>
      <c r="P179" s="129"/>
      <c r="Q179" s="1">
        <f>C167</f>
        <v>0</v>
      </c>
      <c r="R179" s="131"/>
      <c r="T179" s="248" t="s">
        <v>47</v>
      </c>
      <c r="U179" s="249"/>
      <c r="V179" s="249"/>
      <c r="W179" s="249"/>
      <c r="X179" s="246">
        <f>C167</f>
        <v>0</v>
      </c>
      <c r="Y179" s="247"/>
      <c r="AA179" s="63"/>
      <c r="AB179" s="63"/>
      <c r="AC179" s="63"/>
    </row>
    <row r="180" spans="1:33" x14ac:dyDescent="0.25">
      <c r="A180" s="115" t="s">
        <v>7</v>
      </c>
      <c r="C180" s="1">
        <v>0</v>
      </c>
      <c r="D180" s="55"/>
      <c r="F180" s="47" t="str">
        <f>" "</f>
        <v xml:space="preserve"> </v>
      </c>
      <c r="G180" s="63"/>
      <c r="H180" s="63"/>
      <c r="I180" s="63"/>
      <c r="J180" s="1"/>
      <c r="K180" s="131"/>
      <c r="M180" s="47" t="str">
        <f>" "</f>
        <v xml:space="preserve"> </v>
      </c>
      <c r="N180" s="63"/>
      <c r="O180" s="63"/>
      <c r="P180" s="63"/>
      <c r="Q180" s="1"/>
      <c r="R180" s="131"/>
      <c r="T180" s="244" t="str">
        <f>" "</f>
        <v xml:space="preserve"> </v>
      </c>
      <c r="U180" s="245"/>
      <c r="V180" s="245"/>
      <c r="W180" s="245"/>
      <c r="X180" s="246"/>
      <c r="Y180" s="247"/>
      <c r="AA180" s="127"/>
      <c r="AB180" s="127"/>
      <c r="AC180" s="127"/>
      <c r="AE180" s="120"/>
    </row>
    <row r="181" spans="1:33" x14ac:dyDescent="0.25">
      <c r="A181" s="115" t="s">
        <v>5</v>
      </c>
      <c r="C181" s="55">
        <v>0.9</v>
      </c>
      <c r="D181" s="55"/>
      <c r="F181" s="130" t="s">
        <v>46</v>
      </c>
      <c r="G181" s="129"/>
      <c r="H181" s="129"/>
      <c r="I181" s="129"/>
      <c r="J181" s="133">
        <f>J168+J172+J173+J174-J177-J178-J179</f>
        <v>-250</v>
      </c>
      <c r="K181" s="132"/>
      <c r="M181" s="128" t="s">
        <v>46</v>
      </c>
      <c r="N181" s="127"/>
      <c r="O181" s="127"/>
      <c r="P181" s="127"/>
      <c r="Q181" s="133">
        <f>Q168+Q172+Q173+Q174-Q177-Q178-Q179</f>
        <v>-257.77777777777783</v>
      </c>
      <c r="R181" s="132"/>
      <c r="S181" s="120"/>
      <c r="T181" s="252" t="s">
        <v>46</v>
      </c>
      <c r="U181" s="253"/>
      <c r="V181" s="253"/>
      <c r="W181" s="253"/>
      <c r="X181" s="254">
        <f>X168+X172-X177-X178-X179</f>
        <v>-250</v>
      </c>
      <c r="Y181" s="255"/>
      <c r="AA181" s="63"/>
      <c r="AB181" s="63"/>
      <c r="AC181" s="63"/>
      <c r="AF181" s="120"/>
    </row>
    <row r="182" spans="1:33" x14ac:dyDescent="0.25">
      <c r="A182" s="115" t="s">
        <v>90</v>
      </c>
      <c r="C182" s="55">
        <f>IF(C177+C173&gt;C166,C173+C177,IF(AND(C177+C173&lt;=C166,C176-C173&gt;=C166),C166,C176-C173))</f>
        <v>70</v>
      </c>
      <c r="D182" s="55"/>
      <c r="E182" s="122"/>
      <c r="F182" s="47" t="str">
        <f>" "</f>
        <v xml:space="preserve"> </v>
      </c>
      <c r="G182" s="63"/>
      <c r="H182" s="63"/>
      <c r="I182" s="63"/>
      <c r="J182" s="1"/>
      <c r="K182" s="131"/>
      <c r="M182" s="47" t="str">
        <f>" "</f>
        <v xml:space="preserve"> </v>
      </c>
      <c r="N182" s="63"/>
      <c r="O182" s="63"/>
      <c r="P182" s="63"/>
      <c r="Q182" s="1"/>
      <c r="R182" s="131"/>
      <c r="T182" s="244" t="str">
        <f>" "</f>
        <v xml:space="preserve"> </v>
      </c>
      <c r="U182" s="245"/>
      <c r="V182" s="245"/>
      <c r="W182" s="245"/>
      <c r="X182" s="246"/>
      <c r="Y182" s="247"/>
    </row>
    <row r="183" spans="1:33" ht="15.75" thickBot="1" x14ac:dyDescent="0.3">
      <c r="A183" s="13"/>
      <c r="B183" s="12"/>
      <c r="C183" s="4"/>
      <c r="D183" s="11"/>
      <c r="E183" s="12"/>
      <c r="F183" s="130" t="s">
        <v>45</v>
      </c>
      <c r="G183" s="129"/>
      <c r="H183" s="129"/>
      <c r="I183" s="129"/>
      <c r="J183" s="126">
        <f>MAX(MAX(J181*-1,0)-J170,0)</f>
        <v>250</v>
      </c>
      <c r="K183" s="125"/>
      <c r="M183" s="128" t="s">
        <v>45</v>
      </c>
      <c r="N183" s="127"/>
      <c r="O183" s="127"/>
      <c r="P183" s="127"/>
      <c r="Q183" s="126">
        <f>MAX(MAX(Q181*-1,0)-Q170,0)</f>
        <v>257.77777777777783</v>
      </c>
      <c r="R183" s="125"/>
      <c r="T183" s="252" t="s">
        <v>45</v>
      </c>
      <c r="U183" s="253"/>
      <c r="V183" s="253"/>
      <c r="W183" s="253"/>
      <c r="X183" s="256">
        <f>MAX(MAX(X181*-1,0)-X170,0)</f>
        <v>250</v>
      </c>
      <c r="Y183" s="257"/>
    </row>
    <row r="184" spans="1:33" ht="16.5" thickTop="1" thickBot="1" x14ac:dyDescent="0.3">
      <c r="F184" s="59" t="str">
        <f>" "</f>
        <v xml:space="preserve"> </v>
      </c>
      <c r="G184" s="108"/>
      <c r="H184" s="108"/>
      <c r="I184" s="108"/>
      <c r="J184" s="23"/>
      <c r="K184" s="124"/>
      <c r="L184" s="29"/>
      <c r="M184" s="59" t="str">
        <f>" "</f>
        <v xml:space="preserve"> </v>
      </c>
      <c r="N184" s="108"/>
      <c r="O184" s="108"/>
      <c r="P184" s="108"/>
      <c r="Q184" s="23"/>
      <c r="R184" s="123"/>
      <c r="S184" s="29"/>
      <c r="T184" s="238" t="str">
        <f>" "</f>
        <v xml:space="preserve"> </v>
      </c>
      <c r="U184" s="239"/>
      <c r="V184" s="239"/>
      <c r="W184" s="239"/>
      <c r="X184" s="258"/>
      <c r="Y184" s="259"/>
    </row>
    <row r="185" spans="1:33" x14ac:dyDescent="0.25">
      <c r="F185" s="122"/>
      <c r="G185" s="122"/>
      <c r="H185" s="122"/>
      <c r="I185" s="122"/>
      <c r="J185" s="120"/>
      <c r="K185" s="121"/>
      <c r="L185" s="121"/>
      <c r="M185" s="121"/>
      <c r="N185" s="121"/>
      <c r="O185" s="121"/>
      <c r="Q185" s="121"/>
      <c r="R185" s="121"/>
      <c r="S185" s="121"/>
      <c r="T185" s="121"/>
      <c r="U185" s="121"/>
    </row>
    <row r="186" spans="1:33" x14ac:dyDescent="0.25">
      <c r="F186" s="12"/>
      <c r="G186" s="12"/>
      <c r="H186" s="12"/>
      <c r="I186" s="12"/>
      <c r="J186" s="120"/>
      <c r="K186" s="12"/>
      <c r="L186" s="12"/>
      <c r="M186" s="12"/>
      <c r="N186" s="12"/>
      <c r="O186" s="12"/>
      <c r="Q186" s="119"/>
      <c r="R186" s="12"/>
      <c r="S186" s="12"/>
      <c r="T186" s="12"/>
      <c r="U186" s="12"/>
    </row>
    <row r="187" spans="1:33" x14ac:dyDescent="0.25">
      <c r="C187" s="260"/>
      <c r="L187" s="118"/>
    </row>
    <row r="188" spans="1:33" x14ac:dyDescent="0.25">
      <c r="H188" s="55"/>
      <c r="I188" s="117" t="s">
        <v>44</v>
      </c>
      <c r="J188" s="116"/>
      <c r="K188" s="55"/>
      <c r="L188" s="55"/>
    </row>
    <row r="189" spans="1:33" x14ac:dyDescent="0.25">
      <c r="H189" s="115" t="s">
        <v>43</v>
      </c>
      <c r="I189" s="55" t="s">
        <v>42</v>
      </c>
      <c r="J189" s="55"/>
      <c r="K189" s="55"/>
      <c r="L189" s="55"/>
      <c r="M189" s="54">
        <f>MIN(J183,Q183)</f>
        <v>250</v>
      </c>
      <c r="O189" s="114">
        <f>MIN(Q183,X183)</f>
        <v>250</v>
      </c>
    </row>
    <row r="190" spans="1:33" ht="34.5" customHeight="1" x14ac:dyDescent="0.25">
      <c r="I190" s="113" t="s">
        <v>41</v>
      </c>
      <c r="J190" s="113"/>
      <c r="K190" s="113"/>
      <c r="L190" s="113"/>
      <c r="M190" s="113"/>
      <c r="N190" s="113"/>
      <c r="O190" s="113"/>
      <c r="P190" s="113"/>
      <c r="Q190" s="55"/>
      <c r="R190" s="55"/>
    </row>
    <row r="191" spans="1:33" x14ac:dyDescent="0.25">
      <c r="I191" s="113"/>
      <c r="J191" s="113"/>
      <c r="K191" s="113"/>
      <c r="L191" s="113"/>
      <c r="M191" s="113"/>
      <c r="N191" s="113"/>
      <c r="O191" s="113"/>
      <c r="P191" s="113"/>
      <c r="Q191" s="55"/>
      <c r="R191" s="55"/>
    </row>
    <row r="192" spans="1:33" x14ac:dyDescent="0.25">
      <c r="I192" s="113"/>
      <c r="J192" s="113"/>
      <c r="K192" s="113"/>
      <c r="L192" s="113"/>
      <c r="M192" s="113"/>
      <c r="N192" s="113"/>
      <c r="O192" s="113"/>
      <c r="P192" s="113"/>
      <c r="Q192" s="55"/>
      <c r="R192" s="55"/>
    </row>
    <row r="193" spans="9:18" x14ac:dyDescent="0.25">
      <c r="I193" s="113"/>
      <c r="J193" s="113"/>
      <c r="K193" s="113"/>
      <c r="L193" s="113"/>
      <c r="M193" s="113"/>
      <c r="N193" s="113"/>
      <c r="O193" s="113"/>
      <c r="P193" s="113"/>
      <c r="Q193" s="55"/>
      <c r="R193" s="55"/>
    </row>
    <row r="194" spans="9:18" x14ac:dyDescent="0.25">
      <c r="I194" s="113"/>
      <c r="J194" s="113"/>
      <c r="K194" s="113"/>
      <c r="L194" s="113"/>
      <c r="M194" s="113"/>
      <c r="N194" s="113"/>
      <c r="O194" s="113"/>
      <c r="P194" s="113"/>
      <c r="Q194" s="55"/>
      <c r="R194" s="55"/>
    </row>
    <row r="195" spans="9:18" x14ac:dyDescent="0.25">
      <c r="I195" s="113"/>
      <c r="J195" s="113"/>
      <c r="K195" s="113"/>
      <c r="L195" s="113"/>
      <c r="M195" s="113"/>
      <c r="N195" s="113"/>
      <c r="O195" s="113"/>
      <c r="P195" s="113"/>
      <c r="Q195" s="55"/>
      <c r="R195" s="55"/>
    </row>
    <row r="196" spans="9:18" x14ac:dyDescent="0.25">
      <c r="I196" s="113"/>
      <c r="J196" s="113"/>
      <c r="K196" s="113"/>
      <c r="L196" s="113"/>
      <c r="M196" s="113"/>
      <c r="N196" s="113"/>
      <c r="O196" s="113"/>
      <c r="P196" s="113"/>
      <c r="Q196" s="55"/>
      <c r="R196" s="55"/>
    </row>
    <row r="197" spans="9:18" x14ac:dyDescent="0.25">
      <c r="I197" s="113"/>
      <c r="J197" s="113"/>
      <c r="K197" s="113"/>
      <c r="L197" s="113"/>
      <c r="M197" s="113"/>
      <c r="N197" s="113"/>
      <c r="O197" s="113"/>
      <c r="P197" s="113"/>
      <c r="Q197" s="55"/>
      <c r="R197" s="55"/>
    </row>
    <row r="198" spans="9:18" x14ac:dyDescent="0.25">
      <c r="I198" s="113"/>
      <c r="J198" s="113"/>
      <c r="K198" s="113"/>
      <c r="L198" s="113"/>
      <c r="M198" s="113"/>
      <c r="N198" s="113"/>
      <c r="O198" s="113"/>
      <c r="P198" s="113"/>
      <c r="Q198" s="55"/>
      <c r="R198" s="55"/>
    </row>
    <row r="199" spans="9:18" x14ac:dyDescent="0.25">
      <c r="I199" s="113"/>
      <c r="J199" s="113"/>
      <c r="K199" s="113"/>
      <c r="L199" s="113"/>
      <c r="M199" s="113"/>
      <c r="N199" s="113"/>
      <c r="O199" s="113"/>
      <c r="P199" s="113"/>
      <c r="Q199" s="55"/>
      <c r="R199" s="55"/>
    </row>
    <row r="200" spans="9:18" x14ac:dyDescent="0.25">
      <c r="I200" s="113"/>
      <c r="J200" s="113"/>
      <c r="K200" s="113"/>
      <c r="L200" s="113"/>
      <c r="M200" s="113"/>
      <c r="N200" s="113"/>
      <c r="O200" s="113"/>
      <c r="P200" s="113"/>
      <c r="Q200" s="55"/>
      <c r="R200" s="55"/>
    </row>
    <row r="201" spans="9:18" x14ac:dyDescent="0.25">
      <c r="I201" s="113"/>
      <c r="J201" s="113"/>
      <c r="K201" s="113"/>
      <c r="L201" s="113"/>
      <c r="M201" s="113"/>
      <c r="N201" s="113"/>
      <c r="O201" s="113"/>
      <c r="P201" s="113"/>
      <c r="Q201" s="55"/>
      <c r="R201" s="55"/>
    </row>
    <row r="202" spans="9:18" x14ac:dyDescent="0.25">
      <c r="I202" s="113"/>
      <c r="J202" s="113"/>
      <c r="K202" s="113"/>
      <c r="L202" s="113"/>
      <c r="M202" s="113"/>
      <c r="N202" s="113"/>
      <c r="O202" s="113"/>
      <c r="P202" s="113"/>
      <c r="Q202" s="55"/>
      <c r="R202" s="55"/>
    </row>
    <row r="203" spans="9:18" x14ac:dyDescent="0.25">
      <c r="I203" s="113"/>
      <c r="J203" s="113"/>
      <c r="K203" s="113"/>
      <c r="L203" s="113"/>
      <c r="M203" s="113"/>
      <c r="N203" s="113"/>
      <c r="O203" s="113"/>
      <c r="P203" s="113"/>
      <c r="Q203" s="55"/>
      <c r="R203" s="55"/>
    </row>
    <row r="204" spans="9:18" x14ac:dyDescent="0.25">
      <c r="I204" s="113"/>
      <c r="J204" s="113"/>
      <c r="K204" s="113"/>
      <c r="L204" s="113"/>
      <c r="M204" s="113"/>
      <c r="N204" s="113"/>
      <c r="O204" s="113"/>
      <c r="P204" s="113"/>
      <c r="Q204" s="55"/>
      <c r="R204" s="55"/>
    </row>
    <row r="205" spans="9:18" x14ac:dyDescent="0.25">
      <c r="I205" s="113"/>
      <c r="J205" s="113"/>
      <c r="K205" s="113"/>
      <c r="L205" s="113"/>
      <c r="M205" s="113"/>
      <c r="N205" s="113"/>
      <c r="O205" s="113"/>
      <c r="P205" s="113"/>
      <c r="Q205" s="55"/>
      <c r="R205" s="55"/>
    </row>
    <row r="206" spans="9:18" x14ac:dyDescent="0.25">
      <c r="I206" s="113"/>
      <c r="J206" s="113"/>
      <c r="K206" s="113"/>
      <c r="L206" s="113"/>
      <c r="M206" s="113"/>
      <c r="N206" s="113"/>
      <c r="O206" s="113"/>
      <c r="P206" s="113"/>
      <c r="Q206" s="55"/>
      <c r="R206" s="55"/>
    </row>
    <row r="207" spans="9:18" x14ac:dyDescent="0.25">
      <c r="I207" s="113"/>
      <c r="J207" s="113"/>
      <c r="K207" s="113"/>
      <c r="L207" s="113"/>
      <c r="M207" s="113"/>
      <c r="N207" s="113"/>
      <c r="O207" s="113"/>
      <c r="P207" s="113"/>
      <c r="Q207" s="55"/>
      <c r="R207" s="55"/>
    </row>
    <row r="208" spans="9:18" x14ac:dyDescent="0.25">
      <c r="I208" s="113"/>
      <c r="J208" s="113"/>
      <c r="K208" s="113"/>
      <c r="L208" s="113"/>
      <c r="M208" s="113"/>
      <c r="N208" s="113"/>
      <c r="O208" s="113"/>
      <c r="P208" s="113"/>
      <c r="Q208" s="55"/>
      <c r="R208" s="55"/>
    </row>
    <row r="209" spans="1:24" x14ac:dyDescent="0.25">
      <c r="I209" s="113"/>
      <c r="J209" s="113"/>
      <c r="K209" s="113"/>
      <c r="L209" s="113"/>
      <c r="M209" s="113"/>
      <c r="N209" s="113"/>
      <c r="O209" s="113"/>
      <c r="P209" s="113"/>
      <c r="Q209" s="55"/>
      <c r="R209" s="55"/>
    </row>
    <row r="210" spans="1:24" x14ac:dyDescent="0.25">
      <c r="I210" s="113"/>
      <c r="J210" s="113"/>
      <c r="K210" s="113"/>
      <c r="L210" s="113"/>
      <c r="M210" s="113"/>
      <c r="N210" s="113"/>
      <c r="O210" s="113"/>
      <c r="P210" s="113"/>
      <c r="Q210" s="55"/>
      <c r="R210" s="55"/>
    </row>
    <row r="211" spans="1:24" x14ac:dyDescent="0.25">
      <c r="I211" s="113"/>
      <c r="J211" s="113"/>
      <c r="K211" s="113"/>
      <c r="L211" s="113"/>
      <c r="M211" s="113"/>
      <c r="N211" s="113"/>
      <c r="O211" s="113"/>
      <c r="P211" s="113"/>
      <c r="Q211" s="55"/>
      <c r="R211" s="55"/>
    </row>
    <row r="212" spans="1:24" x14ac:dyDescent="0.25">
      <c r="I212" s="113"/>
      <c r="J212" s="113"/>
      <c r="K212" s="113"/>
      <c r="L212" s="113"/>
      <c r="M212" s="113"/>
      <c r="N212" s="113"/>
      <c r="O212" s="113"/>
      <c r="P212" s="113"/>
      <c r="Q212" s="55"/>
      <c r="R212" s="55"/>
    </row>
    <row r="213" spans="1:24" x14ac:dyDescent="0.25">
      <c r="I213" s="113"/>
      <c r="J213" s="113"/>
      <c r="K213" s="113"/>
      <c r="L213" s="113"/>
      <c r="M213" s="113"/>
      <c r="N213" s="113"/>
      <c r="O213" s="113"/>
      <c r="P213" s="113"/>
      <c r="Q213" s="55"/>
      <c r="R213" s="55"/>
    </row>
    <row r="214" spans="1:24" x14ac:dyDescent="0.25">
      <c r="I214" s="113"/>
      <c r="J214" s="113"/>
      <c r="K214" s="113"/>
      <c r="L214" s="113"/>
      <c r="M214" s="113"/>
      <c r="N214" s="113"/>
      <c r="O214" s="113"/>
      <c r="P214" s="113"/>
      <c r="Q214" s="55"/>
      <c r="R214" s="55"/>
    </row>
    <row r="215" spans="1:24" x14ac:dyDescent="0.25">
      <c r="I215" s="113"/>
      <c r="J215" s="113"/>
      <c r="K215" s="113"/>
      <c r="L215" s="113"/>
      <c r="M215" s="113"/>
      <c r="N215" s="113"/>
      <c r="O215" s="113"/>
      <c r="P215" s="113"/>
      <c r="Q215" s="55"/>
      <c r="R215" s="55"/>
    </row>
    <row r="216" spans="1:24" x14ac:dyDescent="0.25">
      <c r="I216" s="113"/>
      <c r="J216" s="113"/>
      <c r="K216" s="113"/>
      <c r="L216" s="113"/>
      <c r="M216" s="113"/>
      <c r="N216" s="113"/>
      <c r="O216" s="113"/>
      <c r="P216" s="113"/>
      <c r="Q216" s="55"/>
      <c r="R216" s="55"/>
    </row>
    <row r="217" spans="1:24" x14ac:dyDescent="0.25">
      <c r="I217" s="113"/>
      <c r="J217" s="113"/>
      <c r="K217" s="113"/>
      <c r="L217" s="113"/>
      <c r="M217" s="113"/>
      <c r="N217" s="113"/>
      <c r="O217" s="113"/>
      <c r="P217" s="113"/>
      <c r="Q217" s="55"/>
      <c r="R217" s="55"/>
    </row>
    <row r="218" spans="1:24" x14ac:dyDescent="0.25">
      <c r="I218" s="113"/>
      <c r="J218" s="113"/>
      <c r="K218" s="113"/>
      <c r="L218" s="113"/>
      <c r="M218" s="113"/>
      <c r="N218" s="113"/>
      <c r="O218" s="113"/>
      <c r="P218" s="113"/>
      <c r="Q218" s="55"/>
      <c r="R218" s="55"/>
    </row>
    <row r="219" spans="1:24" x14ac:dyDescent="0.25">
      <c r="I219" s="113"/>
      <c r="J219" s="113"/>
      <c r="K219" s="113"/>
      <c r="L219" s="113"/>
      <c r="M219" s="113"/>
      <c r="N219" s="113"/>
      <c r="O219" s="113"/>
      <c r="P219" s="113"/>
      <c r="Q219" s="55"/>
      <c r="R219" s="55"/>
    </row>
    <row r="220" spans="1:24" x14ac:dyDescent="0.25">
      <c r="I220" s="113"/>
      <c r="J220" s="113"/>
      <c r="K220" s="113"/>
      <c r="L220" s="113"/>
      <c r="M220" s="113"/>
      <c r="N220" s="113"/>
      <c r="O220" s="113"/>
      <c r="P220" s="113"/>
      <c r="Q220" s="55"/>
      <c r="R220" s="55"/>
    </row>
    <row r="221" spans="1:24" x14ac:dyDescent="0.25">
      <c r="I221" s="113"/>
      <c r="J221" s="113"/>
      <c r="K221" s="113"/>
      <c r="L221" s="113"/>
      <c r="M221" s="113"/>
      <c r="N221" s="113"/>
      <c r="O221" s="113"/>
      <c r="P221" s="113"/>
      <c r="Q221" s="55"/>
      <c r="R221" s="55"/>
    </row>
    <row r="222" spans="1:24" ht="21.75" thickBot="1" x14ac:dyDescent="0.4">
      <c r="A222" s="217" t="s">
        <v>104</v>
      </c>
      <c r="B222" s="112"/>
      <c r="C222" s="112"/>
      <c r="D222" s="112"/>
      <c r="E222" s="112"/>
      <c r="F222" s="112"/>
      <c r="G222" s="112"/>
      <c r="H222" s="112"/>
      <c r="I222" s="112"/>
      <c r="J222" s="112"/>
      <c r="K222" s="112"/>
      <c r="L222" s="112"/>
      <c r="M222" s="112"/>
      <c r="N222" s="112"/>
      <c r="O222" s="112"/>
      <c r="P222" s="112"/>
      <c r="Q222" s="207"/>
      <c r="R222" s="207"/>
      <c r="S222" s="207"/>
      <c r="T222" s="207"/>
    </row>
    <row r="223" spans="1:24" ht="15.75" thickBot="1" x14ac:dyDescent="0.3">
      <c r="A223" s="206" t="s">
        <v>40</v>
      </c>
      <c r="B223" s="205"/>
      <c r="C223" s="205"/>
      <c r="D223" s="199"/>
      <c r="E223" s="53" t="s">
        <v>82</v>
      </c>
      <c r="F223" s="95"/>
      <c r="G223" s="94"/>
      <c r="H223" s="156" t="s">
        <v>87</v>
      </c>
      <c r="I223" s="155"/>
      <c r="J223" s="157"/>
      <c r="K223" s="156" t="s">
        <v>86</v>
      </c>
      <c r="L223" s="155"/>
      <c r="M223" s="157"/>
      <c r="N223" s="156" t="s">
        <v>85</v>
      </c>
      <c r="O223" s="155"/>
      <c r="P223" s="157"/>
      <c r="Q223" s="156" t="s">
        <v>88</v>
      </c>
      <c r="R223" s="155"/>
      <c r="S223" s="155"/>
      <c r="T223" s="157"/>
      <c r="U223" s="156" t="s">
        <v>36</v>
      </c>
      <c r="V223" s="155"/>
      <c r="W223" s="155"/>
      <c r="X223" s="157"/>
    </row>
    <row r="224" spans="1:24" ht="30.75" thickBot="1" x14ac:dyDescent="0.3">
      <c r="A224" s="106" t="s">
        <v>35</v>
      </c>
      <c r="B224" s="89" t="s">
        <v>34</v>
      </c>
      <c r="C224" s="89" t="s">
        <v>33</v>
      </c>
      <c r="D224" s="105" t="s">
        <v>39</v>
      </c>
      <c r="E224" s="204" t="s">
        <v>75</v>
      </c>
      <c r="F224" s="92" t="s">
        <v>84</v>
      </c>
      <c r="G224" s="91" t="s">
        <v>83</v>
      </c>
      <c r="H224" s="204" t="s">
        <v>75</v>
      </c>
      <c r="I224" s="92" t="s">
        <v>32</v>
      </c>
      <c r="J224" s="91" t="s">
        <v>31</v>
      </c>
      <c r="K224" s="204" t="s">
        <v>75</v>
      </c>
      <c r="L224" s="92" t="s">
        <v>32</v>
      </c>
      <c r="M224" s="91" t="s">
        <v>31</v>
      </c>
      <c r="N224" s="204" t="s">
        <v>75</v>
      </c>
      <c r="O224" s="92" t="s">
        <v>32</v>
      </c>
      <c r="P224" s="91" t="s">
        <v>31</v>
      </c>
      <c r="Q224" s="90" t="s">
        <v>38</v>
      </c>
      <c r="R224" s="89" t="s">
        <v>37</v>
      </c>
      <c r="S224" s="89" t="s">
        <v>32</v>
      </c>
      <c r="T224" s="88" t="s">
        <v>31</v>
      </c>
      <c r="U224" s="90" t="s">
        <v>38</v>
      </c>
      <c r="V224" s="89" t="s">
        <v>37</v>
      </c>
      <c r="W224" s="89" t="s">
        <v>32</v>
      </c>
      <c r="X224" s="88" t="s">
        <v>31</v>
      </c>
    </row>
    <row r="225" spans="1:34" x14ac:dyDescent="0.25">
      <c r="A225" s="104">
        <v>1</v>
      </c>
      <c r="B225" s="102">
        <v>0</v>
      </c>
      <c r="C225" s="102">
        <v>50</v>
      </c>
      <c r="D225" s="84">
        <v>20</v>
      </c>
      <c r="E225" s="203">
        <f>IF(AND(C239&gt;B225,C239&lt;=C225),C239,0)</f>
        <v>0</v>
      </c>
      <c r="F225" s="85">
        <f>IF(C239&gt;0,D225,0)</f>
        <v>20</v>
      </c>
      <c r="G225" s="84">
        <f>IF(E225&gt;0,IF(E225=B225,D225,IF(AND(E225&gt;B225,E225&lt;=C225),D225+(E225-B225)*((D225-D225)/(C225-B225)),0)),0)</f>
        <v>0</v>
      </c>
      <c r="H225" s="202">
        <f>IF(AND(C248&gt;B225,C248&lt;=C225),C248,0)</f>
        <v>0</v>
      </c>
      <c r="I225" s="85">
        <f>IF(C248&gt;0,D225,0)</f>
        <v>20</v>
      </c>
      <c r="J225" s="84">
        <f>IF(H225&gt;0,IF(H225=B225,D225,IF(AND(H225&gt;B225,H225&lt;=C225),D225+(H225-B225)*((D225-D225)/(C225-B225)),0)),0)</f>
        <v>0</v>
      </c>
      <c r="K225" s="103">
        <f>IF(AND(C250&gt;B225,C250&lt;=C225),C250,0)</f>
        <v>0</v>
      </c>
      <c r="L225" s="85">
        <f>IF(C248&gt;0,D225,0)</f>
        <v>20</v>
      </c>
      <c r="M225" s="84">
        <f>IF(K225&gt;0,IF(K225=B225,D225,IF(AND(K225&gt;B225,K225&lt;=C225),D225+(K225-B225)*((D225-D225)/(C225-B225)),0)),0)</f>
        <v>0</v>
      </c>
      <c r="N225" s="103">
        <f>IF(AND(C251&gt;E225,C251&lt;=F225),C251,0)</f>
        <v>0</v>
      </c>
      <c r="O225" s="85">
        <f>IF(C251&gt;0,D225,0)</f>
        <v>20</v>
      </c>
      <c r="P225" s="84">
        <f>IF(N225&gt;0,IF(N225=B225,D225,IF(AND(N225&gt;B225,N225&lt;=C225),D225+(N225-B225)*((D225-D225)/(C225-B225)),0)),0)</f>
        <v>0</v>
      </c>
      <c r="Q225" s="103">
        <f>IF(MIN(C251,C267)=C225,C225,0)</f>
        <v>0</v>
      </c>
      <c r="R225" s="102">
        <f>IF(MAX(C251,C267)=C225,C225,0)</f>
        <v>0</v>
      </c>
      <c r="S225" s="85">
        <f>IF(Q225&gt;0,D225,0)</f>
        <v>0</v>
      </c>
      <c r="T225" s="84">
        <f>IF(R225&gt;0,IF(R225=B225,D225,IF(AND(R225&gt;B225,R225&lt;=C225),D225+(R225-B225)*((D225-D225)/(C225-B225)),0)),0)</f>
        <v>0</v>
      </c>
      <c r="U225" s="103">
        <f>IF(MIN(C251,C267)=C225,C225,0)</f>
        <v>0</v>
      </c>
      <c r="V225" s="102">
        <f>IF(MAX(C251,C267)=C225,C225,0)</f>
        <v>0</v>
      </c>
      <c r="W225" s="85">
        <f>IF(U225&gt;0,D225,0)</f>
        <v>0</v>
      </c>
      <c r="X225" s="84">
        <f>IF(V225&gt;0,IF(V225=B225,D225,IF(AND(V225&gt;B225,V225&lt;=C225),D225+(V225-B225)*((D225-D225)/(C225-B225)),0)),0)</f>
        <v>0</v>
      </c>
    </row>
    <row r="226" spans="1:34" x14ac:dyDescent="0.25">
      <c r="A226" s="30">
        <v>2</v>
      </c>
      <c r="B226" s="29">
        <v>50</v>
      </c>
      <c r="C226" s="29">
        <v>75</v>
      </c>
      <c r="D226" s="81">
        <v>25</v>
      </c>
      <c r="E226" s="201">
        <f>IF(AND(C239&gt;B226,C239&lt;=C226),C239,0)</f>
        <v>0</v>
      </c>
      <c r="F226" s="1">
        <v>0</v>
      </c>
      <c r="G226" s="81">
        <f>IF(E226&gt;0,IF(AND(E226&gt;B226,E226&lt;C226),D225+(E226-B226)*((D226-D225)/(C226-B226)),0),0)</f>
        <v>0</v>
      </c>
      <c r="H226" s="101">
        <f>IF(AND(C248&gt;B226,C248&lt;=C226),C248,0)</f>
        <v>0</v>
      </c>
      <c r="I226" s="1">
        <v>0</v>
      </c>
      <c r="J226" s="81">
        <f>IF(H226&gt;0,IF(H226=B226,D226,IF(AND(H226&gt;B226,H226&lt;=C226),D225+(H226-B226)*((D226-D225)/(C226-B226)),0)),0)</f>
        <v>0</v>
      </c>
      <c r="K226" s="101">
        <f>IF(AND(C250&gt;B226,C250&lt;=C226),C250,0)</f>
        <v>0</v>
      </c>
      <c r="L226" s="1">
        <v>0</v>
      </c>
      <c r="M226" s="81">
        <f>IF(K226&gt;0,IF(K226=B226,D226,IF(AND(K226&gt;B226,K226&lt;=C226),D225+(K226-B226)*((D226-D225)/(C226-B226)),0)),0)</f>
        <v>0</v>
      </c>
      <c r="N226" s="101">
        <f>IF(AND(C251&gt;B226,C251&lt;=C226),C251,0)</f>
        <v>0</v>
      </c>
      <c r="O226" s="1">
        <v>0</v>
      </c>
      <c r="P226" s="81">
        <f>IF(N226&gt;0,IF(N226=B226,D226,IF(AND(N226&gt;B226,N226&lt;=C226),D225+(N226-B226)*((D226-D225)/(C226-B226)),0)),0)</f>
        <v>0</v>
      </c>
      <c r="Q226" s="101">
        <f>IF(AND(MIN(C251,C267)&gt;B226,MIN(C251,C267)&lt;=C226),MIN(C251,C267),0)</f>
        <v>0</v>
      </c>
      <c r="R226" s="29">
        <f>IF(AND(MAX(C251,C267)&gt;B226,MAX(C251,C267)&lt;=C226),MAX(C251,C267),0)</f>
        <v>0</v>
      </c>
      <c r="S226" s="1">
        <f>IF(Q226&gt;0,IF(Q226=B226,D226,IF(AND(Q226&gt;B226,Q226&lt;=C226),D225+(Q226-B226)*((D226-D225)/(C226-B226)),0)),0)</f>
        <v>0</v>
      </c>
      <c r="T226" s="81">
        <f>IF(R226&gt;0,IF(R226=B226,D226,IF(AND(R226&gt;B226,R226&lt;=C226),D225+(R226-B226)*((D226-D225)/(C226-B226)),0)),0)</f>
        <v>0</v>
      </c>
      <c r="U226" s="101">
        <f>IF(AND(MIN(C251,C267)&gt;B226,MIN(C251,C267)&lt;=C226),MIN(C251,C267),0)</f>
        <v>0</v>
      </c>
      <c r="V226" s="29">
        <f>IF(AND(MAX(C251,C267)&gt;B226,MAX(C251,C267)&lt;=C226),MAX(C251,C267),0)</f>
        <v>0</v>
      </c>
      <c r="W226" s="1">
        <f>IF(U226&gt;0,IF(U226=B226,D226,IF(AND(U226&gt;B226,U226&lt;=C226),D225+(U226-B226)*((D226-D225)/(C226-B226)),0)),0)</f>
        <v>0</v>
      </c>
      <c r="X226" s="81">
        <f>IF(V226&gt;0,IF(V226=B226,D226,IF(AND(V226&gt;B226,V226&lt;=C226),D225+(V226-B226)*((D226-D225)/(C226-B226)),0)),0)</f>
        <v>0</v>
      </c>
    </row>
    <row r="227" spans="1:34" ht="15.75" thickBot="1" x14ac:dyDescent="0.3">
      <c r="A227" s="100">
        <v>3</v>
      </c>
      <c r="B227" s="98">
        <v>75</v>
      </c>
      <c r="C227" s="98">
        <v>100</v>
      </c>
      <c r="D227" s="97">
        <v>30</v>
      </c>
      <c r="E227" s="200">
        <f>IF(AND(C239&gt;B227,C239&lt;=C227),C239,IF(C239&gt;C227,C239,0))</f>
        <v>100</v>
      </c>
      <c r="F227" s="23">
        <v>0</v>
      </c>
      <c r="G227" s="97">
        <f>IF(E227&gt;0,IF(E227=C227,D227,IF(AND(E227&gt;B227,E227&lt;C227),D226+(E227-B227)*((D227-D226)/(C227-B227)),IF(E227&gt;C227,D227,0))),0)</f>
        <v>30</v>
      </c>
      <c r="H227" s="99">
        <f>IF(AND(C248&gt;B227,C248&lt;=C227),C248,IF(C248&gt;C227,C248,0))</f>
        <v>80</v>
      </c>
      <c r="I227" s="23">
        <v>0</v>
      </c>
      <c r="J227" s="97">
        <f>IF(H227&gt;0,IF(H227=B227,D227,IF(AND(H227&gt;B227,H227&lt;=C227),D226+(H227-B227)*((D227-D226)/(C227-B227)),IF(H227&gt;C227,D227,0))),0)</f>
        <v>26</v>
      </c>
      <c r="K227" s="99">
        <f>IF(AND(C250&gt;B227,C250&lt;=C227),C250,IF(C250&gt;C227,C250,0))</f>
        <v>80</v>
      </c>
      <c r="L227" s="23">
        <v>0</v>
      </c>
      <c r="M227" s="97">
        <f>IF(K227&gt;0,IF(K227=B227,D227,IF(AND(K227&gt;B227,K227&lt;=C227),D226+(K227-B227)*((D227-D226)/(C227-B227)),IF(K227&gt;C227,D227,0))),0)</f>
        <v>26</v>
      </c>
      <c r="N227" s="99">
        <f>IF(AND(C251&gt;B227,C251&lt;=C227),C251,IF(C251&gt;C227,C251,0))</f>
        <v>100</v>
      </c>
      <c r="O227" s="23">
        <v>0</v>
      </c>
      <c r="P227" s="97">
        <f>IF(N227&gt;0,IF(N227=B227,D227,IF(AND(N227&gt;B227,N227&lt;=C227),D226+(N227-B227)*((D227-D226)/(C227-B227)),IF(N227&gt;C227,D227,0))),0)</f>
        <v>30</v>
      </c>
      <c r="Q227" s="99">
        <f>IF(AND(MIN(C251,C267)&gt;B227,MIN(C251,C267)&lt;=C227),MIN(C251,C267),0)</f>
        <v>80</v>
      </c>
      <c r="R227" s="98">
        <f>IF(OR(AND(MAX(C251,C267)&gt;B227,MAX(C251,C267)&lt;=C227),MAX(C251,C267)&gt;C227),MAX(C251,C267),0)</f>
        <v>100</v>
      </c>
      <c r="S227" s="23">
        <f>IF(Q227&gt;0,IF(Q227=B227,D227,IF(AND(Q227&gt;B227,Q227&lt;=C227),D226+(Q227-B227)*((D227-D226)/(C227-B227)),IF(Q227&gt;C227,D227,0))),0)</f>
        <v>26</v>
      </c>
      <c r="T227" s="97">
        <f>IF(R227&gt;0,IF(R227=B227,D227,IF(AND(R227&gt;B227,R227&lt;=C227),D226+(R227-B227)*((D227-D226)/(C227-B227)),IF(R227&gt;C227,D227,0))),0)</f>
        <v>30</v>
      </c>
      <c r="U227" s="99">
        <f>IF(AND(MIN(C251,C267)&gt;B227,MIN(C251,C267)&lt;=C227),MIN(C251,C267),0)</f>
        <v>80</v>
      </c>
      <c r="V227" s="98">
        <f>IF(AND(MAX(C251,C267)&gt;B227,MAX(C251,C267)&lt;=C227),MAX(C251,C267),0)</f>
        <v>100</v>
      </c>
      <c r="W227" s="23">
        <f>IF(U227&gt;0,IF(U227=B227,D227,IF(AND(U227&gt;B227,U227&lt;=C227),D226+(U227-B227)*((D227-D226)/(C227-B227)),IF(U227&gt;C227,D227,0))),0)</f>
        <v>26</v>
      </c>
      <c r="X227" s="97">
        <f>IF(V227&gt;0,IF(V227=B227,D227,IF(AND(V227&gt;B227,V227&lt;=C227),D226+(V227-B227)*((D227-D226)/(C227-B227)),IF(V227&gt;C227,D227,0))),0)</f>
        <v>30</v>
      </c>
    </row>
    <row r="228" spans="1:34" ht="15.75" thickBot="1" x14ac:dyDescent="0.3">
      <c r="J228" s="96"/>
    </row>
    <row r="229" spans="1:34" ht="15.75" thickBot="1" x14ac:dyDescent="0.3">
      <c r="A229" s="156" t="s">
        <v>82</v>
      </c>
      <c r="B229" s="156"/>
      <c r="C229" s="155"/>
      <c r="D229" s="155"/>
      <c r="E229" s="155"/>
      <c r="F229" s="157"/>
      <c r="G229" s="198"/>
      <c r="H229" s="53" t="s">
        <v>81</v>
      </c>
      <c r="I229" s="95"/>
      <c r="J229" s="95"/>
      <c r="K229" s="95"/>
      <c r="L229" s="95"/>
      <c r="M229" s="94"/>
      <c r="O229" s="53" t="s">
        <v>80</v>
      </c>
      <c r="P229" s="95"/>
      <c r="Q229" s="95"/>
      <c r="R229" s="95"/>
      <c r="S229" s="95"/>
      <c r="T229" s="94"/>
      <c r="V229" s="53" t="s">
        <v>88</v>
      </c>
      <c r="W229" s="95"/>
      <c r="X229" s="95"/>
      <c r="Y229" s="95"/>
      <c r="Z229" s="95"/>
      <c r="AA229" s="94"/>
      <c r="AC229" s="53" t="s">
        <v>36</v>
      </c>
      <c r="AD229" s="95"/>
      <c r="AE229" s="95"/>
      <c r="AF229" s="95"/>
      <c r="AG229" s="95"/>
      <c r="AH229" s="94"/>
    </row>
    <row r="230" spans="1:34" ht="30.75" thickBot="1" x14ac:dyDescent="0.3">
      <c r="A230" s="90" t="s">
        <v>35</v>
      </c>
      <c r="B230" s="89" t="s">
        <v>34</v>
      </c>
      <c r="C230" s="89" t="s">
        <v>33</v>
      </c>
      <c r="D230" s="89" t="s">
        <v>32</v>
      </c>
      <c r="E230" s="89" t="s">
        <v>31</v>
      </c>
      <c r="F230" s="199" t="s">
        <v>30</v>
      </c>
      <c r="G230" s="198"/>
      <c r="H230" s="93" t="s">
        <v>35</v>
      </c>
      <c r="I230" s="92" t="s">
        <v>34</v>
      </c>
      <c r="J230" s="92" t="s">
        <v>33</v>
      </c>
      <c r="K230" s="92" t="s">
        <v>32</v>
      </c>
      <c r="L230" s="92" t="s">
        <v>31</v>
      </c>
      <c r="M230" s="91" t="s">
        <v>30</v>
      </c>
      <c r="O230" s="93" t="s">
        <v>35</v>
      </c>
      <c r="P230" s="92" t="s">
        <v>34</v>
      </c>
      <c r="Q230" s="92" t="s">
        <v>33</v>
      </c>
      <c r="R230" s="92" t="s">
        <v>32</v>
      </c>
      <c r="S230" s="92" t="s">
        <v>31</v>
      </c>
      <c r="T230" s="91" t="s">
        <v>30</v>
      </c>
      <c r="V230" s="93" t="s">
        <v>35</v>
      </c>
      <c r="W230" s="92" t="s">
        <v>34</v>
      </c>
      <c r="X230" s="92" t="s">
        <v>33</v>
      </c>
      <c r="Y230" s="92" t="s">
        <v>32</v>
      </c>
      <c r="Z230" s="92" t="s">
        <v>31</v>
      </c>
      <c r="AA230" s="91" t="s">
        <v>30</v>
      </c>
      <c r="AC230" s="90" t="s">
        <v>35</v>
      </c>
      <c r="AD230" s="89" t="s">
        <v>34</v>
      </c>
      <c r="AE230" s="89" t="s">
        <v>33</v>
      </c>
      <c r="AF230" s="89" t="s">
        <v>32</v>
      </c>
      <c r="AG230" s="89" t="s">
        <v>31</v>
      </c>
      <c r="AH230" s="88" t="s">
        <v>30</v>
      </c>
    </row>
    <row r="231" spans="1:34" x14ac:dyDescent="0.25">
      <c r="A231" s="104">
        <v>1</v>
      </c>
      <c r="B231" s="102">
        <v>0</v>
      </c>
      <c r="C231" s="102">
        <f>IF(AND(C239&gt;B225,C239&lt;C225),C239,IF(C239&gt;=C225,C225,0))</f>
        <v>50</v>
      </c>
      <c r="D231" s="85">
        <f>MIN(D225,F225)</f>
        <v>20</v>
      </c>
      <c r="E231" s="85">
        <f>IF(AND(C239&gt;B225,C239&lt;C225),G225,IF(C239&gt;=C225,D225,0))</f>
        <v>20</v>
      </c>
      <c r="F231" s="84">
        <f>(C231-B231)*(D231+E231)/2</f>
        <v>1000</v>
      </c>
      <c r="G231" s="51"/>
      <c r="H231" s="104">
        <v>1</v>
      </c>
      <c r="I231" s="102">
        <v>0</v>
      </c>
      <c r="J231" s="102">
        <f>IF(AND(C248&gt;B225,C248&lt;C225),C248,IF(C248&gt;=C225,C225,0))</f>
        <v>50</v>
      </c>
      <c r="K231" s="85">
        <f>MIN(D225,I225)</f>
        <v>20</v>
      </c>
      <c r="L231" s="85">
        <f>IF(AND(C248&gt;B225,C248&lt;C225),J225,IF(C248&gt;=C225,D225,0))</f>
        <v>20</v>
      </c>
      <c r="M231" s="84">
        <f>(J231-I231)*(K231+L231)/2</f>
        <v>1000</v>
      </c>
      <c r="O231" s="87">
        <v>1</v>
      </c>
      <c r="P231" s="86">
        <v>0</v>
      </c>
      <c r="Q231" s="86">
        <f>IF(AND(C250&gt;B225,C250&lt;C225),C250,IF(C250&gt;=C225,C225,0))</f>
        <v>50</v>
      </c>
      <c r="R231" s="85">
        <f>MIN(D225,L225)</f>
        <v>20</v>
      </c>
      <c r="S231" s="85">
        <f>IF(AND(C250&gt;B225,C250&lt;C225),M225,IF(C250&gt;=C225,D225,0))</f>
        <v>20</v>
      </c>
      <c r="T231" s="84">
        <f>(Q231-P231)*(R231+S231)/2</f>
        <v>1000</v>
      </c>
      <c r="V231" s="87">
        <v>1</v>
      </c>
      <c r="W231" s="86">
        <v>0</v>
      </c>
      <c r="X231" s="86">
        <f>IF(R225&gt;0,MIN(Q225,C225),0)</f>
        <v>0</v>
      </c>
      <c r="Y231" s="85">
        <f>IF(W231&lt;&gt;0,MIN(D225,S225),0)</f>
        <v>0</v>
      </c>
      <c r="Z231" s="85">
        <f>IF(AND(X231&gt;B225,X231&lt;C225),T225,IF(X231&gt;=C225,D225,0))</f>
        <v>0</v>
      </c>
      <c r="AA231" s="84">
        <f>(X231-W231)*(Y231+Z231)/2</f>
        <v>0</v>
      </c>
      <c r="AC231" s="83">
        <v>1</v>
      </c>
      <c r="AD231" s="86">
        <v>0</v>
      </c>
      <c r="AE231" s="86">
        <f>IF(V225&gt;0,MIN(U225,C225),0)</f>
        <v>0</v>
      </c>
      <c r="AF231" s="1">
        <f>IF(AD231&lt;&gt;0,MIN(D225,W225),0)</f>
        <v>0</v>
      </c>
      <c r="AG231" s="1">
        <f>IF(AND(AE231&gt;B225,AE231&lt;C225),X225,IF(AE231&gt;=C225,D225,0))</f>
        <v>0</v>
      </c>
      <c r="AH231" s="81">
        <f>(AE231-AD231)*(AF231+AG231)/2</f>
        <v>0</v>
      </c>
    </row>
    <row r="232" spans="1:34" x14ac:dyDescent="0.25">
      <c r="A232" s="30">
        <v>2</v>
      </c>
      <c r="B232" s="29">
        <f>IF(C239&gt;B226,C231,0)</f>
        <v>50</v>
      </c>
      <c r="C232" s="29">
        <f>IF(AND(C239&gt;B226,C239&lt;C226),C239,IF(C239&gt;=C226,C226,0))</f>
        <v>75</v>
      </c>
      <c r="D232" s="1">
        <f>IF(B232&lt;&gt;0,E231,0)</f>
        <v>20</v>
      </c>
      <c r="E232" s="1">
        <f>IF(AND(C239&gt;B226,C239&lt;C226),G226,IF(C239&gt;=C226,D226,0))</f>
        <v>25</v>
      </c>
      <c r="F232" s="81">
        <f>(C232-B232)*(D232+E232)/2</f>
        <v>562.5</v>
      </c>
      <c r="G232" s="27"/>
      <c r="H232" s="30">
        <v>2</v>
      </c>
      <c r="I232" s="29">
        <f>IF(C248&gt;B226,J231,0)</f>
        <v>50</v>
      </c>
      <c r="J232" s="29">
        <f>IF(AND(C248&gt;B226,C248&lt;C226),C248,IF(C248&gt;=C226,C226,0))</f>
        <v>75</v>
      </c>
      <c r="K232" s="1">
        <f>IF(I232&lt;&gt;0,L231,0)</f>
        <v>20</v>
      </c>
      <c r="L232" s="1">
        <f>IF(AND(C248&gt;B226,C248&lt;C226),J226,IF(C248&gt;=C226,D226,0))</f>
        <v>25</v>
      </c>
      <c r="M232" s="81">
        <f>(J232-I232)*(K232+L232)/2</f>
        <v>562.5</v>
      </c>
      <c r="O232" s="83">
        <v>2</v>
      </c>
      <c r="P232" s="82">
        <f>IF(C250&gt;B226,Q231,0)</f>
        <v>50</v>
      </c>
      <c r="Q232" s="82">
        <f>IF(AND(C250&gt;B226,C250&lt;C226),C250,IF(C250&gt;=C226,C226,0))</f>
        <v>75</v>
      </c>
      <c r="R232" s="1">
        <f>IF(P232&lt;&gt;0,S231,0)</f>
        <v>20</v>
      </c>
      <c r="S232" s="1">
        <f>IF(AND(C250&gt;B226,C250&lt;C226),M226,IF(C250&gt;=C226,D226,0))</f>
        <v>25</v>
      </c>
      <c r="T232" s="81">
        <f>(Q232-P232)*(R232+S232)/2</f>
        <v>562.5</v>
      </c>
      <c r="V232" s="83">
        <v>2</v>
      </c>
      <c r="W232" s="82">
        <f>IF(OR(X231&gt;0,R226&gt;0),B226,MIN(C226,Q226))</f>
        <v>0</v>
      </c>
      <c r="X232" s="82">
        <f>IF(AND(W232&gt;0,MAX(R225:R227)&lt;C226),MAX(R225:R227),IF(AND(MAX(R225:R227)&gt;=C226,W232&gt;0),C226,0))</f>
        <v>0</v>
      </c>
      <c r="Y232" s="1">
        <f>IF(W232=MAX(Q225:Q227),MAX(S225:S227),0)</f>
        <v>0</v>
      </c>
      <c r="Z232" s="1">
        <f>IF(AND(X232&gt;B226,X232&lt;C226),T226,IF(X232&gt;=C226,D226,0))</f>
        <v>0</v>
      </c>
      <c r="AA232" s="81">
        <f>(X232-W232)*(Y232+Z232)/2</f>
        <v>0</v>
      </c>
      <c r="AC232" s="83">
        <v>2</v>
      </c>
      <c r="AD232" s="82">
        <f>IF(OR(AE231&gt;0,V226&gt;0),B226,MIN(C226,U226))</f>
        <v>0</v>
      </c>
      <c r="AE232" s="82">
        <f>IF(AND(AD232&gt;0,MAX(V225:V227)&lt;C226),MAX(V225:V227),IF(AND(MAX(V225:V227)&gt;=C226,AD232&gt;0),C226,0))</f>
        <v>0</v>
      </c>
      <c r="AF232" s="1">
        <f>IF(AD232=MAX(U225:U227),MAX(W225:W227),0)</f>
        <v>0</v>
      </c>
      <c r="AG232" s="1">
        <f>IF(AND(AE232&gt;B226,AE232&lt;C226),X226,IF(AE232&gt;=C226,D226,0))</f>
        <v>0</v>
      </c>
      <c r="AH232" s="81">
        <f>(AE232-AD232)*(AF232+AG232)/2</f>
        <v>0</v>
      </c>
    </row>
    <row r="233" spans="1:34" x14ac:dyDescent="0.25">
      <c r="A233" s="30">
        <v>3</v>
      </c>
      <c r="B233" s="29">
        <f>IF(C239&gt;B227,C232,0)</f>
        <v>75</v>
      </c>
      <c r="C233" s="29">
        <f>IF(AND(C239&gt;B227,C239&lt;C227),C239,IF(C239&gt;=C227,C227,0))</f>
        <v>100</v>
      </c>
      <c r="D233" s="1">
        <f>IF(B233&lt;&gt;0,E232,0)</f>
        <v>25</v>
      </c>
      <c r="E233" s="1">
        <f>IF(AND(C239&gt;B227,C239&lt;C227),G227,IF(C239&gt;=C227,D227,0))</f>
        <v>30</v>
      </c>
      <c r="F233" s="81">
        <f>(C233-B233)*(D233+E233)/2</f>
        <v>687.5</v>
      </c>
      <c r="G233" s="27"/>
      <c r="H233" s="30">
        <v>3</v>
      </c>
      <c r="I233" s="29">
        <f>IF(C248&gt;B227,J232,0)</f>
        <v>75</v>
      </c>
      <c r="J233" s="29">
        <f>IF(AND(C248&gt;B227,C248&lt;C227),C248,IF(C248&gt;=C227,C227,0))</f>
        <v>80</v>
      </c>
      <c r="K233" s="1">
        <f>IF(I233&lt;&gt;0,L232,0)</f>
        <v>25</v>
      </c>
      <c r="L233" s="1">
        <f>IF(AND(C248&gt;B227,C248&lt;C227),J227,IF(C248&gt;=C227,D227,0))</f>
        <v>26</v>
      </c>
      <c r="M233" s="81">
        <f>(J233-I233)*(K233+L233)/2</f>
        <v>127.5</v>
      </c>
      <c r="O233" s="83">
        <v>3</v>
      </c>
      <c r="P233" s="82">
        <f>IF(C250&gt;B227,Q232,0)</f>
        <v>75</v>
      </c>
      <c r="Q233" s="82">
        <f>IF(AND(C250&gt;B227,C250&lt;C227),C250,IF(C250&gt;=C227,C227,0))</f>
        <v>80</v>
      </c>
      <c r="R233" s="1">
        <f>IF(P233&lt;&gt;0,S232,0)</f>
        <v>25</v>
      </c>
      <c r="S233" s="1">
        <f>IF(AND(C250&gt;B227,C250&lt;C227),M227,IF(C250&gt;=C227,D227,0))</f>
        <v>26</v>
      </c>
      <c r="T233" s="81">
        <f>(Q233-P233)*(R233+S233)/2</f>
        <v>127.5</v>
      </c>
      <c r="V233" s="83">
        <v>3</v>
      </c>
      <c r="W233" s="82">
        <f>IF(AND(X232&gt;0,MAX(R225:R227)&gt;C226),B227,IF(AND(MAX(Q225:Q227)&gt;B227,MAX(Q225:Q227)&lt;C227),MAX(Q225:Q227),MIN(C227,Q226)))</f>
        <v>80</v>
      </c>
      <c r="X233" s="82">
        <f>IF(AND(MAX(R225:R227)&gt;B227,MAX(R225:R227)&lt;C227),MAX(R225:R227),IF(MAX(R225:R227)&gt;=C227,C227,0))</f>
        <v>100</v>
      </c>
      <c r="Y233" s="1">
        <f>IF(AND(W233&lt;&gt;0,X232&lt;&gt;0),Z232,IF(MAX(Q225:Q227)=W233,MAX(S225:S227),0))</f>
        <v>26</v>
      </c>
      <c r="Z233" s="1">
        <f>IF(AND(X233&gt;B227,X233&lt;C227),T227,IF(X233&gt;=C227,D227,0))</f>
        <v>30</v>
      </c>
      <c r="AA233" s="81">
        <f>(X233-W233)*(Y233+Z233)/2</f>
        <v>560</v>
      </c>
      <c r="AC233" s="83">
        <v>3</v>
      </c>
      <c r="AD233" s="82">
        <f>IF(AND(AE232&gt;0,MAX(V225:V227)&gt;C226),B227,IF(AND(MAX(U225:U227)&gt;B227,MAX(U225:U227)&lt;C227),MAX(U225:U227),MIN(C227,U226)))</f>
        <v>80</v>
      </c>
      <c r="AE233" s="82">
        <f>IF(AND(MAX(V225:V227)&gt;B227,MAX(V225:V227)&lt;C227),MAX(V225:V227),IF(MAX(V225:V227)&gt;=C227,C227,0))</f>
        <v>100</v>
      </c>
      <c r="AF233" s="1">
        <f>IF(AND(AD233&lt;&gt;0,AE232&lt;&gt;0),AG232,IF(MAX(U225:U227)=AD233,MAX(W225:W227),0))</f>
        <v>26</v>
      </c>
      <c r="AG233" s="1">
        <f>IF(AND(AE233&gt;B227,AE233&lt;C227),X227,IF(AE233&gt;=C227,D227,0))</f>
        <v>30</v>
      </c>
      <c r="AH233" s="81">
        <f>(AE233-AD233)*(AF233+AG233)/2</f>
        <v>560</v>
      </c>
    </row>
    <row r="234" spans="1:34" x14ac:dyDescent="0.25">
      <c r="A234" s="30">
        <v>4</v>
      </c>
      <c r="B234" s="29">
        <f>IF(C239&gt;C227,C233,0)</f>
        <v>0</v>
      </c>
      <c r="C234" s="29">
        <f>IF(C239&gt;C227,C239,0)</f>
        <v>0</v>
      </c>
      <c r="D234" s="1">
        <f>IF(B234&lt;&gt;0,E233,0)</f>
        <v>0</v>
      </c>
      <c r="E234" s="1">
        <f>IF(C239&gt;C227,D227,0)</f>
        <v>0</v>
      </c>
      <c r="F234" s="81">
        <f>(C234-B234)*(D234+E234)/2</f>
        <v>0</v>
      </c>
      <c r="G234" s="27"/>
      <c r="H234" s="30">
        <v>4</v>
      </c>
      <c r="I234" s="29">
        <f>IF(C248&gt;C227,J233,0)</f>
        <v>0</v>
      </c>
      <c r="J234" s="29">
        <f>IF(C248&gt;C227,C248,0)</f>
        <v>0</v>
      </c>
      <c r="K234" s="1">
        <f>IF(I234&lt;&gt;0,L233,0)</f>
        <v>0</v>
      </c>
      <c r="L234" s="1">
        <f>IF(J234&gt;0,IF(C248&gt;=C227,J227,IF(AND(C248&gt;B227,C248&lt;C227),J227,0)),0)</f>
        <v>0</v>
      </c>
      <c r="M234" s="81">
        <f>(J234-I234)*(K234+L234)/2</f>
        <v>0</v>
      </c>
      <c r="O234" s="83">
        <v>4</v>
      </c>
      <c r="P234" s="82">
        <f>IF(C250&gt;C227,Q233,0)</f>
        <v>0</v>
      </c>
      <c r="Q234" s="82">
        <f>IF(C250&gt;C227,C250,0)</f>
        <v>0</v>
      </c>
      <c r="R234" s="1">
        <f>IF(P234&lt;&gt;0,S233,0)</f>
        <v>0</v>
      </c>
      <c r="S234" s="1">
        <f>IF(Q234&gt;0,IF(C250&gt;=C227,J227,IF(AND(C250&gt;B227,C250&lt;C227),J227,0)),0)</f>
        <v>0</v>
      </c>
      <c r="T234" s="81">
        <f>(Q234-P234)*(R234+S234)/2</f>
        <v>0</v>
      </c>
      <c r="V234" s="83">
        <v>4</v>
      </c>
      <c r="W234" s="82">
        <f>IF(C251&gt;C227,X233,0)</f>
        <v>0</v>
      </c>
      <c r="X234" s="82">
        <f>IF(R227&gt;C227,R227,IF(AND(R227&gt;C227,R227&lt;C227),R227,0))</f>
        <v>0</v>
      </c>
      <c r="Y234" s="1">
        <f>IF(W234&lt;&gt;0,MIN(D228,T227),0)</f>
        <v>0</v>
      </c>
      <c r="Z234" s="1">
        <f>IF(X234&gt;0,IF(X234&gt;=C227,T227,IF(AND(X234&gt;B227,X234&lt;C227),T227,0)),0)</f>
        <v>0</v>
      </c>
      <c r="AA234" s="81">
        <f>(X234-W234)*(Y234+Z234)/2</f>
        <v>0</v>
      </c>
      <c r="AC234" s="83">
        <v>4</v>
      </c>
      <c r="AD234" s="82">
        <f>IF(J251&gt;C227,AE233,0)</f>
        <v>0</v>
      </c>
      <c r="AE234" s="82">
        <f>IF(Y227&gt;J227,Y227,IF(AND(Y227&gt;J227,Y227&lt;J227),Y227,0))</f>
        <v>0</v>
      </c>
      <c r="AF234" s="1">
        <f>IF(AD234&lt;&gt;0,MIN(D228,X227),0)</f>
        <v>0</v>
      </c>
      <c r="AG234" s="1">
        <f>IF(AE234&gt;0,IF(AE234&gt;=C227,X227,IF(AND(AE234&gt;B227,AE234&lt;C227),X227,0)),0)</f>
        <v>0</v>
      </c>
      <c r="AH234" s="81">
        <f>(AE234-AD234)*(AF234+AG234)/2</f>
        <v>0</v>
      </c>
    </row>
    <row r="235" spans="1:34" ht="15.75" thickBot="1" x14ac:dyDescent="0.3">
      <c r="A235" s="99"/>
      <c r="B235" s="98"/>
      <c r="C235" s="98"/>
      <c r="D235" s="196"/>
      <c r="E235" s="196"/>
      <c r="F235" s="78">
        <f>SUM(F231:F234)</f>
        <v>2250</v>
      </c>
      <c r="G235" s="197"/>
      <c r="H235" s="99"/>
      <c r="I235" s="98"/>
      <c r="J235" s="98"/>
      <c r="K235" s="196"/>
      <c r="L235" s="196"/>
      <c r="M235" s="78">
        <f>SUM(M231:M234)</f>
        <v>1690</v>
      </c>
      <c r="O235" s="80"/>
      <c r="P235" s="79"/>
      <c r="Q235" s="79"/>
      <c r="R235" s="79"/>
      <c r="S235" s="79"/>
      <c r="T235" s="78">
        <f>SUM(T231:T234)</f>
        <v>1690</v>
      </c>
      <c r="V235" s="80"/>
      <c r="W235" s="79"/>
      <c r="X235" s="79"/>
      <c r="Y235" s="79"/>
      <c r="Z235" s="79"/>
      <c r="AA235" s="78">
        <f>SUM(AA231:AA234)</f>
        <v>560</v>
      </c>
      <c r="AC235" s="80"/>
      <c r="AD235" s="79"/>
      <c r="AE235" s="79"/>
      <c r="AF235" s="79"/>
      <c r="AG235" s="79"/>
      <c r="AH235" s="78">
        <f>SUM(AH231:AH234)</f>
        <v>560</v>
      </c>
    </row>
    <row r="236" spans="1:34" ht="15.75" thickBot="1" x14ac:dyDescent="0.3"/>
    <row r="237" spans="1:34" ht="15.75" thickBot="1" x14ac:dyDescent="0.3">
      <c r="A237" s="77" t="s">
        <v>29</v>
      </c>
      <c r="B237" s="55"/>
      <c r="C237" s="55"/>
      <c r="D237" s="55"/>
      <c r="E237" s="12"/>
      <c r="F237" s="156" t="s">
        <v>79</v>
      </c>
      <c r="G237" s="155"/>
      <c r="H237" s="155"/>
      <c r="I237" s="155"/>
      <c r="J237" s="156"/>
      <c r="K237" s="195"/>
      <c r="L237" s="194"/>
      <c r="M237" s="41" t="s">
        <v>91</v>
      </c>
      <c r="N237" s="40"/>
      <c r="O237" s="40"/>
      <c r="P237" s="40"/>
      <c r="Q237" s="41"/>
      <c r="R237" s="44"/>
      <c r="S237" s="72"/>
      <c r="T237" s="41" t="s">
        <v>78</v>
      </c>
      <c r="U237" s="40"/>
      <c r="V237" s="40"/>
      <c r="W237" s="40"/>
      <c r="X237" s="41"/>
      <c r="Y237" s="44"/>
      <c r="AA237" s="41" t="s">
        <v>77</v>
      </c>
      <c r="AB237" s="40"/>
      <c r="AC237" s="40"/>
      <c r="AD237" s="40"/>
      <c r="AE237" s="193"/>
    </row>
    <row r="238" spans="1:34" ht="15.75" thickBot="1" x14ac:dyDescent="0.3">
      <c r="A238" s="70" t="s">
        <v>76</v>
      </c>
      <c r="B238" s="192"/>
      <c r="C238" s="191"/>
      <c r="D238" s="191"/>
      <c r="E238" s="67"/>
      <c r="F238" s="156" t="s">
        <v>12</v>
      </c>
      <c r="G238" s="155"/>
      <c r="H238" s="155"/>
      <c r="I238" s="156"/>
      <c r="J238" s="190" t="s">
        <v>11</v>
      </c>
      <c r="K238" s="154"/>
      <c r="L238" s="147"/>
      <c r="M238" s="41" t="s">
        <v>12</v>
      </c>
      <c r="N238" s="40"/>
      <c r="O238" s="40"/>
      <c r="P238" s="41"/>
      <c r="Q238" s="40" t="s">
        <v>11</v>
      </c>
      <c r="R238" s="39"/>
      <c r="S238" s="5"/>
      <c r="T238" s="41" t="s">
        <v>12</v>
      </c>
      <c r="U238" s="40"/>
      <c r="V238" s="40"/>
      <c r="W238" s="41"/>
      <c r="X238" s="40" t="s">
        <v>11</v>
      </c>
      <c r="Y238" s="39"/>
      <c r="AA238" s="41" t="s">
        <v>12</v>
      </c>
      <c r="AB238" s="40"/>
      <c r="AC238" s="40"/>
      <c r="AD238" s="41"/>
      <c r="AE238" s="39" t="s">
        <v>11</v>
      </c>
    </row>
    <row r="239" spans="1:34" x14ac:dyDescent="0.25">
      <c r="A239" s="189" t="s">
        <v>75</v>
      </c>
      <c r="B239" s="188"/>
      <c r="C239" s="187">
        <v>100</v>
      </c>
      <c r="D239" s="186"/>
      <c r="E239">
        <v>0</v>
      </c>
      <c r="F239" s="185" t="s">
        <v>56</v>
      </c>
      <c r="G239" s="184"/>
      <c r="H239" s="184"/>
      <c r="I239" s="184"/>
      <c r="J239" s="85">
        <f>C239*C240</f>
        <v>2500</v>
      </c>
      <c r="K239" s="183"/>
      <c r="L239" s="6"/>
      <c r="M239" s="151"/>
      <c r="N239" s="150"/>
      <c r="O239" s="150"/>
      <c r="P239" s="150"/>
      <c r="Q239" s="149"/>
      <c r="R239" s="148"/>
      <c r="S239" s="6"/>
      <c r="T239" s="151"/>
      <c r="U239" s="150"/>
      <c r="V239" s="150"/>
      <c r="W239" s="150"/>
      <c r="X239" s="149"/>
      <c r="Y239" s="148"/>
      <c r="AA239" s="151"/>
      <c r="AB239" s="150"/>
      <c r="AC239" s="150"/>
      <c r="AD239" s="150"/>
      <c r="AE239" s="182"/>
    </row>
    <row r="240" spans="1:34" x14ac:dyDescent="0.25">
      <c r="A240" s="181" t="s">
        <v>26</v>
      </c>
      <c r="B240" s="180"/>
      <c r="C240" s="179">
        <v>25</v>
      </c>
      <c r="D240" s="178"/>
      <c r="F240" s="47" t="str">
        <f>" "</f>
        <v xml:space="preserve"> </v>
      </c>
      <c r="G240" s="63"/>
      <c r="H240" s="63"/>
      <c r="I240" s="63"/>
      <c r="J240" s="1"/>
      <c r="K240" s="167"/>
      <c r="L240" s="6"/>
      <c r="M240" s="36" t="s">
        <v>74</v>
      </c>
      <c r="N240" s="19"/>
      <c r="O240" s="19"/>
      <c r="P240" s="19"/>
      <c r="Q240" s="18">
        <f>C258*C259*C266</f>
        <v>126</v>
      </c>
      <c r="R240" s="17"/>
      <c r="S240" s="3"/>
      <c r="T240" s="36" t="s">
        <v>74</v>
      </c>
      <c r="U240" s="19"/>
      <c r="V240" s="19"/>
      <c r="W240" s="19"/>
      <c r="X240" s="18">
        <f>C258*C259*C263</f>
        <v>119</v>
      </c>
      <c r="Y240" s="17"/>
      <c r="AA240" s="135" t="s">
        <v>73</v>
      </c>
      <c r="AB240" s="19"/>
      <c r="AC240" s="19"/>
      <c r="AD240" s="19"/>
      <c r="AE240" s="166">
        <f>J239</f>
        <v>2500</v>
      </c>
    </row>
    <row r="241" spans="1:33" x14ac:dyDescent="0.25">
      <c r="A241" s="181" t="s">
        <v>23</v>
      </c>
      <c r="B241" s="180"/>
      <c r="C241" s="179">
        <v>0</v>
      </c>
      <c r="D241" s="178"/>
      <c r="F241" s="130" t="str">
        <f>"DA Incremental Cost @ "&amp;C239&amp;" MW"</f>
        <v>DA Incremental Cost @ 100 MW</v>
      </c>
      <c r="G241" s="129"/>
      <c r="H241" s="129"/>
      <c r="I241" s="129"/>
      <c r="J241" s="1">
        <f>F235</f>
        <v>2250</v>
      </c>
      <c r="K241" s="167"/>
      <c r="L241" s="6"/>
      <c r="M241" s="36"/>
      <c r="N241" s="35"/>
      <c r="O241" s="35"/>
      <c r="P241" s="35"/>
      <c r="Q241" s="18"/>
      <c r="R241" s="17"/>
      <c r="S241" s="6"/>
      <c r="T241" s="36"/>
      <c r="U241" s="35"/>
      <c r="V241" s="35"/>
      <c r="W241" s="35"/>
      <c r="X241" s="18"/>
      <c r="Y241" s="17"/>
      <c r="AA241" s="36"/>
      <c r="AB241" s="35"/>
      <c r="AC241" s="35"/>
      <c r="AD241" s="35"/>
      <c r="AE241" s="166"/>
    </row>
    <row r="242" spans="1:33" x14ac:dyDescent="0.25">
      <c r="A242" s="181" t="s">
        <v>22</v>
      </c>
      <c r="B242" s="180"/>
      <c r="C242" s="179">
        <v>0</v>
      </c>
      <c r="D242" s="178"/>
      <c r="E242" s="54"/>
      <c r="F242" s="130" t="s">
        <v>72</v>
      </c>
      <c r="G242" s="129"/>
      <c r="H242" s="129"/>
      <c r="I242" s="129"/>
      <c r="J242" s="1">
        <f>C242</f>
        <v>0</v>
      </c>
      <c r="K242" s="167"/>
      <c r="L242" s="6"/>
      <c r="M242" s="135" t="s">
        <v>51</v>
      </c>
      <c r="N242" s="19"/>
      <c r="O242" s="19"/>
      <c r="P242" s="19"/>
      <c r="Q242" s="18"/>
      <c r="R242" s="17"/>
      <c r="S242" s="6"/>
      <c r="T242" s="135" t="s">
        <v>51</v>
      </c>
      <c r="U242" s="19"/>
      <c r="V242" s="19"/>
      <c r="W242" s="19"/>
      <c r="X242" s="18"/>
      <c r="Y242" s="17"/>
      <c r="AA242" s="135" t="s">
        <v>71</v>
      </c>
      <c r="AB242" s="19"/>
      <c r="AC242" s="19"/>
      <c r="AD242" s="19"/>
      <c r="AE242" s="166">
        <f>Q257</f>
        <v>-800</v>
      </c>
    </row>
    <row r="243" spans="1:33" x14ac:dyDescent="0.25">
      <c r="A243" s="177" t="s">
        <v>70</v>
      </c>
      <c r="B243" s="176"/>
      <c r="C243" s="175">
        <v>50</v>
      </c>
      <c r="D243" s="174"/>
      <c r="F243" s="130" t="s">
        <v>69</v>
      </c>
      <c r="G243" s="129"/>
      <c r="H243" s="129"/>
      <c r="I243" s="129"/>
      <c r="J243" s="1">
        <f>C241</f>
        <v>0</v>
      </c>
      <c r="K243" s="167"/>
      <c r="L243" s="6"/>
      <c r="M243" s="36" t="s">
        <v>68</v>
      </c>
      <c r="N243" s="35"/>
      <c r="O243" s="35"/>
      <c r="P243" s="35"/>
      <c r="Q243" s="18">
        <f>ABS(AA235-(MAX(R225:R227)-MAX(Q225:Q227))*C249)/C266*C266</f>
        <v>240.00000000000003</v>
      </c>
      <c r="R243" s="17"/>
      <c r="S243" s="3"/>
      <c r="T243" s="36" t="s">
        <v>68</v>
      </c>
      <c r="U243" s="35"/>
      <c r="V243" s="35"/>
      <c r="W243" s="35"/>
      <c r="X243" s="18">
        <f>ABS(AH235-(MAX(V225:V227)-MAX(U225:U227))*C249)/C266*C263</f>
        <v>226.66666666666669</v>
      </c>
      <c r="Y243" s="17"/>
      <c r="AA243" s="36"/>
      <c r="AB243" s="35"/>
      <c r="AC243" s="35"/>
      <c r="AD243" s="35"/>
      <c r="AE243" s="166"/>
    </row>
    <row r="244" spans="1:33" ht="15.75" thickBot="1" x14ac:dyDescent="0.3">
      <c r="A244" s="173" t="s">
        <v>67</v>
      </c>
      <c r="B244" s="172"/>
      <c r="C244" s="171">
        <v>100</v>
      </c>
      <c r="D244" s="170"/>
      <c r="F244" s="47" t="str">
        <f>" "</f>
        <v xml:space="preserve"> </v>
      </c>
      <c r="G244" s="63"/>
      <c r="H244" s="63"/>
      <c r="I244" s="63"/>
      <c r="J244" s="1"/>
      <c r="K244" s="167"/>
      <c r="L244" s="6"/>
      <c r="M244" s="20"/>
      <c r="N244" s="19"/>
      <c r="O244" s="19"/>
      <c r="P244" s="19"/>
      <c r="Q244" s="18"/>
      <c r="R244" s="17"/>
      <c r="S244" s="6"/>
      <c r="T244" s="20"/>
      <c r="U244" s="19"/>
      <c r="V244" s="19"/>
      <c r="W244" s="19"/>
      <c r="X244" s="18"/>
      <c r="Y244" s="17"/>
      <c r="AA244" s="20" t="s">
        <v>66</v>
      </c>
      <c r="AB244" s="19"/>
      <c r="AC244" s="19"/>
      <c r="AD244" s="19"/>
      <c r="AE244" s="169">
        <f>X247</f>
        <v>226.66666666666669</v>
      </c>
    </row>
    <row r="245" spans="1:33" x14ac:dyDescent="0.25">
      <c r="C245" s="54"/>
      <c r="D245" s="54"/>
      <c r="F245" s="130" t="s">
        <v>65</v>
      </c>
      <c r="G245" s="129"/>
      <c r="H245" s="129"/>
      <c r="I245" s="129"/>
      <c r="J245" s="133">
        <f>J239-J241-J242-J243</f>
        <v>250</v>
      </c>
      <c r="K245" s="168"/>
      <c r="L245" s="48"/>
      <c r="M245" s="36" t="s">
        <v>64</v>
      </c>
      <c r="N245" s="35"/>
      <c r="O245" s="35"/>
      <c r="P245" s="35"/>
      <c r="Q245" s="18">
        <f>MAX(Q242+Q243-Q240,0)</f>
        <v>114.00000000000003</v>
      </c>
      <c r="R245" s="17"/>
      <c r="S245" s="3"/>
      <c r="T245" s="36" t="s">
        <v>64</v>
      </c>
      <c r="U245" s="35"/>
      <c r="V245" s="35"/>
      <c r="W245" s="35"/>
      <c r="X245" s="18">
        <f>MAX(X242+X243-X240,0)</f>
        <v>107.66666666666669</v>
      </c>
      <c r="Y245" s="17"/>
      <c r="AA245" s="36"/>
      <c r="AB245" s="35"/>
      <c r="AC245" s="35"/>
      <c r="AD245" s="35"/>
      <c r="AE245" s="166"/>
    </row>
    <row r="246" spans="1:33" ht="15.75" thickBot="1" x14ac:dyDescent="0.3">
      <c r="A246" s="77" t="s">
        <v>29</v>
      </c>
      <c r="B246" s="55"/>
      <c r="C246" s="55"/>
      <c r="D246" s="55"/>
      <c r="E246" s="55"/>
      <c r="F246" s="47" t="str">
        <f>" "</f>
        <v xml:space="preserve"> </v>
      </c>
      <c r="G246" s="63"/>
      <c r="H246" s="63"/>
      <c r="I246" s="63"/>
      <c r="J246" s="1"/>
      <c r="K246" s="167"/>
      <c r="L246" s="6"/>
      <c r="M246" s="20"/>
      <c r="N246" s="19"/>
      <c r="O246" s="19"/>
      <c r="P246" s="19"/>
      <c r="Q246" s="18"/>
      <c r="R246" s="17"/>
      <c r="S246" s="6"/>
      <c r="T246" s="20"/>
      <c r="U246" s="19"/>
      <c r="V246" s="19"/>
      <c r="W246" s="19"/>
      <c r="X246" s="18"/>
      <c r="Y246" s="17"/>
      <c r="AA246" s="20"/>
      <c r="AB246" s="19"/>
      <c r="AC246" s="19"/>
      <c r="AD246" s="19"/>
      <c r="AE246" s="166"/>
    </row>
    <row r="247" spans="1:33" ht="15.75" thickBot="1" x14ac:dyDescent="0.3">
      <c r="A247" s="70" t="s">
        <v>28</v>
      </c>
      <c r="B247" s="69"/>
      <c r="C247" s="68"/>
      <c r="D247" s="68"/>
      <c r="E247" s="54"/>
      <c r="F247" s="130" t="s">
        <v>54</v>
      </c>
      <c r="G247" s="129"/>
      <c r="H247" s="129"/>
      <c r="I247" s="129"/>
      <c r="J247" s="126">
        <f>MAX(J245*-1,0)</f>
        <v>0</v>
      </c>
      <c r="K247" s="165"/>
      <c r="L247" s="48"/>
      <c r="M247" s="36" t="s">
        <v>63</v>
      </c>
      <c r="N247" s="35"/>
      <c r="O247" s="35"/>
      <c r="P247" s="35"/>
      <c r="Q247" s="164">
        <f>Q240+Q245</f>
        <v>240.00000000000003</v>
      </c>
      <c r="R247" s="163"/>
      <c r="S247" s="3"/>
      <c r="T247" s="36" t="s">
        <v>63</v>
      </c>
      <c r="U247" s="35"/>
      <c r="V247" s="35"/>
      <c r="W247" s="35"/>
      <c r="X247" s="164">
        <f>X240+X245</f>
        <v>226.66666666666669</v>
      </c>
      <c r="Y247" s="163"/>
      <c r="AA247" s="36" t="s">
        <v>55</v>
      </c>
      <c r="AB247" s="35"/>
      <c r="AC247" s="35"/>
      <c r="AD247" s="35"/>
      <c r="AE247" s="162">
        <f>AE240+AE242+AE244-AE246</f>
        <v>1926.6666666666667</v>
      </c>
    </row>
    <row r="248" spans="1:33" ht="16.5" thickTop="1" thickBot="1" x14ac:dyDescent="0.3">
      <c r="A248" s="47" t="s">
        <v>27</v>
      </c>
      <c r="B248" s="28"/>
      <c r="C248" s="60">
        <v>80</v>
      </c>
      <c r="D248" s="27"/>
      <c r="F248" s="59" t="str">
        <f>" "</f>
        <v xml:space="preserve"> </v>
      </c>
      <c r="G248" s="108"/>
      <c r="H248" s="108"/>
      <c r="I248" s="108"/>
      <c r="J248" s="23"/>
      <c r="K248" s="161"/>
      <c r="L248" s="6"/>
      <c r="M248" s="10" t="str">
        <f>" "</f>
        <v xml:space="preserve"> </v>
      </c>
      <c r="N248" s="9"/>
      <c r="O248" s="9"/>
      <c r="P248" s="9"/>
      <c r="Q248" s="8">
        <f>MAX(Q240-Q243,0)</f>
        <v>0</v>
      </c>
      <c r="R248" s="7"/>
      <c r="S248" s="6"/>
      <c r="T248" s="10" t="str">
        <f>" "</f>
        <v xml:space="preserve"> </v>
      </c>
      <c r="U248" s="9"/>
      <c r="V248" s="9"/>
      <c r="W248" s="9"/>
      <c r="X248" s="8">
        <f>MAX(X240-X243,0)</f>
        <v>0</v>
      </c>
      <c r="Y248" s="7"/>
      <c r="AA248" s="10" t="str">
        <f>" "</f>
        <v xml:space="preserve"> </v>
      </c>
      <c r="AB248" s="9"/>
      <c r="AC248" s="9"/>
      <c r="AD248" s="9"/>
      <c r="AE248" s="160"/>
    </row>
    <row r="249" spans="1:33" x14ac:dyDescent="0.25">
      <c r="A249" s="30" t="s">
        <v>26</v>
      </c>
      <c r="B249" s="66"/>
      <c r="C249" s="1">
        <v>40</v>
      </c>
      <c r="D249" s="61"/>
      <c r="F249" s="50"/>
      <c r="G249" s="49"/>
      <c r="H249" s="49"/>
      <c r="I249" s="49"/>
      <c r="J249" s="48"/>
      <c r="K249" s="6"/>
      <c r="L249" s="6"/>
      <c r="M249" s="6"/>
      <c r="N249" s="6"/>
      <c r="O249" s="6"/>
      <c r="P249" s="6"/>
      <c r="Q249" s="48"/>
      <c r="R249" s="6"/>
      <c r="S249" s="6"/>
      <c r="T249" s="6"/>
      <c r="U249" s="6"/>
    </row>
    <row r="250" spans="1:33" ht="15.75" thickBot="1" x14ac:dyDescent="0.3">
      <c r="A250" s="63" t="s">
        <v>25</v>
      </c>
      <c r="B250" s="28"/>
      <c r="C250" s="60">
        <v>80</v>
      </c>
      <c r="D250" s="27"/>
      <c r="F250" s="159" t="s">
        <v>62</v>
      </c>
      <c r="G250" s="159"/>
      <c r="H250" s="159"/>
      <c r="I250" s="159"/>
      <c r="J250" s="159"/>
      <c r="K250" s="159"/>
      <c r="L250" s="158"/>
      <c r="M250" s="45" t="s">
        <v>61</v>
      </c>
      <c r="N250" s="45"/>
      <c r="O250" s="45"/>
      <c r="P250" s="45"/>
      <c r="Q250" s="55"/>
      <c r="R250" s="55"/>
      <c r="T250" s="233" t="s">
        <v>60</v>
      </c>
      <c r="U250" s="233"/>
      <c r="V250" s="233"/>
      <c r="W250" s="233"/>
      <c r="X250" s="234"/>
      <c r="Y250" s="234"/>
      <c r="AA250" s="29"/>
      <c r="AB250" s="45"/>
      <c r="AC250" s="45"/>
    </row>
    <row r="251" spans="1:33" ht="15.75" thickBot="1" x14ac:dyDescent="0.3">
      <c r="A251" s="63" t="s">
        <v>108</v>
      </c>
      <c r="B251" s="28"/>
      <c r="C251" s="60">
        <v>100</v>
      </c>
      <c r="D251" s="27"/>
      <c r="F251" s="156" t="s">
        <v>59</v>
      </c>
      <c r="G251" s="155"/>
      <c r="H251" s="155"/>
      <c r="I251" s="155"/>
      <c r="J251" s="157"/>
      <c r="K251" s="157"/>
      <c r="L251" s="5"/>
      <c r="M251" s="156" t="s">
        <v>58</v>
      </c>
      <c r="N251" s="155"/>
      <c r="O251" s="155"/>
      <c r="P251" s="155"/>
      <c r="Q251" s="157"/>
      <c r="R251" s="157"/>
      <c r="T251" s="235" t="s">
        <v>113</v>
      </c>
      <c r="U251" s="236"/>
      <c r="V251" s="236"/>
      <c r="W251" s="236"/>
      <c r="X251" s="237"/>
      <c r="Y251" s="237"/>
      <c r="AA251" s="63"/>
      <c r="AB251" s="41" t="s">
        <v>57</v>
      </c>
      <c r="AC251" s="40"/>
      <c r="AD251" s="40"/>
      <c r="AE251" s="40"/>
      <c r="AF251" s="41"/>
      <c r="AG251" s="44"/>
    </row>
    <row r="252" spans="1:33" ht="15.75" thickBot="1" x14ac:dyDescent="0.3">
      <c r="A252" s="30" t="s">
        <v>23</v>
      </c>
      <c r="B252" s="29"/>
      <c r="C252" s="1">
        <v>0</v>
      </c>
      <c r="D252" s="61"/>
      <c r="F252" s="59" t="s">
        <v>12</v>
      </c>
      <c r="G252" s="108"/>
      <c r="H252" s="156"/>
      <c r="I252" s="155"/>
      <c r="J252" s="154" t="s">
        <v>11</v>
      </c>
      <c r="K252" s="154"/>
      <c r="L252" s="6"/>
      <c r="M252" s="59" t="s">
        <v>12</v>
      </c>
      <c r="N252" s="108"/>
      <c r="O252" s="156"/>
      <c r="P252" s="155"/>
      <c r="Q252" s="154" t="s">
        <v>11</v>
      </c>
      <c r="R252" s="154"/>
      <c r="T252" s="238" t="s">
        <v>12</v>
      </c>
      <c r="U252" s="239"/>
      <c r="V252" s="235"/>
      <c r="W252" s="236"/>
      <c r="X252" s="237" t="s">
        <v>11</v>
      </c>
      <c r="Y252" s="237"/>
      <c r="AA252" s="63"/>
      <c r="AB252" s="41" t="s">
        <v>12</v>
      </c>
      <c r="AC252" s="40"/>
      <c r="AD252" s="40"/>
      <c r="AE252" s="41"/>
      <c r="AF252" s="40" t="s">
        <v>11</v>
      </c>
      <c r="AG252" s="39"/>
    </row>
    <row r="253" spans="1:33" x14ac:dyDescent="0.25">
      <c r="A253" s="62" t="s">
        <v>22</v>
      </c>
      <c r="B253" s="29"/>
      <c r="C253" s="1">
        <v>0</v>
      </c>
      <c r="D253" s="61"/>
      <c r="F253" s="153" t="s">
        <v>56</v>
      </c>
      <c r="G253" s="52"/>
      <c r="H253" s="52"/>
      <c r="I253" s="52"/>
      <c r="J253" s="85">
        <f>J239</f>
        <v>2500</v>
      </c>
      <c r="K253" s="152"/>
      <c r="L253" s="3"/>
      <c r="M253" s="153" t="s">
        <v>56</v>
      </c>
      <c r="N253" s="52"/>
      <c r="O253" s="52"/>
      <c r="P253" s="52"/>
      <c r="Q253" s="85">
        <f>J239</f>
        <v>2500</v>
      </c>
      <c r="R253" s="152"/>
      <c r="T253" s="240" t="s">
        <v>56</v>
      </c>
      <c r="U253" s="241"/>
      <c r="V253" s="241"/>
      <c r="W253" s="241"/>
      <c r="X253" s="242">
        <f>J239</f>
        <v>2500</v>
      </c>
      <c r="Y253" s="243"/>
      <c r="AA253" s="28"/>
      <c r="AB253" s="151"/>
      <c r="AC253" s="150"/>
      <c r="AD253" s="150"/>
      <c r="AE253" s="150"/>
      <c r="AF253" s="149"/>
      <c r="AG253" s="148"/>
    </row>
    <row r="254" spans="1:33" x14ac:dyDescent="0.25">
      <c r="A254" s="47" t="s">
        <v>21</v>
      </c>
      <c r="B254" s="28"/>
      <c r="C254" s="60">
        <v>50</v>
      </c>
      <c r="D254" s="27"/>
      <c r="F254" s="47" t="str">
        <f>" "</f>
        <v xml:space="preserve"> </v>
      </c>
      <c r="G254" s="63"/>
      <c r="H254" s="63"/>
      <c r="I254" s="63"/>
      <c r="J254" s="1"/>
      <c r="K254" s="131"/>
      <c r="L254" s="6"/>
      <c r="M254" s="47" t="str">
        <f>" "</f>
        <v xml:space="preserve"> </v>
      </c>
      <c r="N254" s="63"/>
      <c r="O254" s="63"/>
      <c r="P254" s="63"/>
      <c r="Q254" s="1"/>
      <c r="R254" s="131"/>
      <c r="T254" s="244" t="str">
        <f>" "</f>
        <v xml:space="preserve"> </v>
      </c>
      <c r="U254" s="245"/>
      <c r="V254" s="245"/>
      <c r="W254" s="245"/>
      <c r="X254" s="246"/>
      <c r="Y254" s="247"/>
      <c r="AA254" s="63"/>
      <c r="AB254" s="20" t="s">
        <v>55</v>
      </c>
      <c r="AC254" s="19"/>
      <c r="AD254" s="19"/>
      <c r="AE254" s="19"/>
      <c r="AF254" s="18">
        <f>AE247</f>
        <v>1926.6666666666667</v>
      </c>
      <c r="AG254" s="17"/>
    </row>
    <row r="255" spans="1:33" ht="15.75" thickBot="1" x14ac:dyDescent="0.3">
      <c r="A255" s="59" t="s">
        <v>20</v>
      </c>
      <c r="B255" s="58"/>
      <c r="C255" s="57">
        <v>100</v>
      </c>
      <c r="D255" s="56"/>
      <c r="F255" s="130" t="s">
        <v>54</v>
      </c>
      <c r="G255" s="129"/>
      <c r="H255" s="129"/>
      <c r="I255" s="129"/>
      <c r="J255" s="1">
        <f>J247</f>
        <v>0</v>
      </c>
      <c r="K255" s="131"/>
      <c r="L255" s="3"/>
      <c r="M255" s="130" t="s">
        <v>54</v>
      </c>
      <c r="N255" s="129"/>
      <c r="O255" s="129"/>
      <c r="P255" s="129"/>
      <c r="Q255" s="1">
        <f>J247</f>
        <v>0</v>
      </c>
      <c r="R255" s="131"/>
      <c r="T255" s="248" t="s">
        <v>54</v>
      </c>
      <c r="U255" s="249"/>
      <c r="V255" s="249"/>
      <c r="W255" s="249"/>
      <c r="X255" s="246">
        <f>J247</f>
        <v>0</v>
      </c>
      <c r="Y255" s="247"/>
      <c r="AA255" s="129"/>
      <c r="AB255" s="36"/>
      <c r="AC255" s="35"/>
      <c r="AD255" s="35"/>
      <c r="AE255" s="35"/>
      <c r="AF255" s="18"/>
      <c r="AG255" s="17"/>
    </row>
    <row r="256" spans="1:33" x14ac:dyDescent="0.25">
      <c r="F256" s="47" t="str">
        <f>" "</f>
        <v xml:space="preserve"> </v>
      </c>
      <c r="G256" s="63"/>
      <c r="H256" s="63"/>
      <c r="I256" s="63"/>
      <c r="J256" s="1"/>
      <c r="K256" s="131"/>
      <c r="L256" s="147"/>
      <c r="M256" s="47" t="str">
        <f>" "</f>
        <v xml:space="preserve"> </v>
      </c>
      <c r="N256" s="63"/>
      <c r="O256" s="63"/>
      <c r="P256" s="63"/>
      <c r="Q256" s="1"/>
      <c r="R256" s="131"/>
      <c r="T256" s="244" t="str">
        <f>" "</f>
        <v xml:space="preserve"> </v>
      </c>
      <c r="U256" s="245"/>
      <c r="V256" s="245"/>
      <c r="W256" s="245"/>
      <c r="X256" s="246"/>
      <c r="Y256" s="247"/>
      <c r="AA256" s="63"/>
      <c r="AB256" s="135" t="str">
        <f>"RT Incremental Cost @ "&amp;C248&amp;" MW"</f>
        <v>RT Incremental Cost @ 80 MW</v>
      </c>
      <c r="AC256" s="19"/>
      <c r="AD256" s="19"/>
      <c r="AE256" s="19"/>
      <c r="AF256" s="18">
        <f>Q262</f>
        <v>1690</v>
      </c>
      <c r="AG256" s="17"/>
    </row>
    <row r="257" spans="1:33" ht="30" x14ac:dyDescent="0.25">
      <c r="A257" t="s">
        <v>19</v>
      </c>
      <c r="F257" s="130" t="s">
        <v>53</v>
      </c>
      <c r="G257" s="129"/>
      <c r="H257" s="129"/>
      <c r="I257" s="129"/>
      <c r="J257" s="1">
        <f>(C250-C239)*C249</f>
        <v>-800</v>
      </c>
      <c r="K257" s="131"/>
      <c r="L257" s="4"/>
      <c r="M257" s="130" t="s">
        <v>52</v>
      </c>
      <c r="N257" s="129"/>
      <c r="O257" s="129"/>
      <c r="P257" s="129"/>
      <c r="Q257" s="1">
        <f>(C248-C239)*C249</f>
        <v>-800</v>
      </c>
      <c r="R257" s="131"/>
      <c r="T257" s="248" t="s">
        <v>112</v>
      </c>
      <c r="U257" s="249"/>
      <c r="V257" s="249"/>
      <c r="W257" s="249"/>
      <c r="X257" s="246">
        <f>(C251-C239)*C249</f>
        <v>0</v>
      </c>
      <c r="Y257" s="247"/>
      <c r="AA257" s="129"/>
      <c r="AB257" s="36" t="s">
        <v>49</v>
      </c>
      <c r="AC257" s="35"/>
      <c r="AD257" s="35"/>
      <c r="AE257" s="35"/>
      <c r="AF257" s="18">
        <f>Q263</f>
        <v>0</v>
      </c>
      <c r="AG257" s="17"/>
    </row>
    <row r="258" spans="1:33" x14ac:dyDescent="0.25">
      <c r="A258" t="s">
        <v>18</v>
      </c>
      <c r="C258" s="55">
        <v>20</v>
      </c>
      <c r="D258" s="55"/>
      <c r="F258" s="209" t="str">
        <f>"Company Responsible Losses @ "&amp;IF(AND(C255&lt;C244,C239&gt;0),MAX(C239-MAX(C255,C251),0),0)&amp;" MW"</f>
        <v>Company Responsible Losses @ 0 MW</v>
      </c>
      <c r="G258" s="63"/>
      <c r="H258" s="63"/>
      <c r="I258" s="63"/>
      <c r="J258" s="1">
        <f>IF(AND(C255&lt;C244,C239&gt;0),MAX(C239-MAX(C251,C255),0)*MIN(C240-C249,0),0)</f>
        <v>0</v>
      </c>
      <c r="K258" s="131"/>
      <c r="L258" s="137"/>
      <c r="Q258" s="1">
        <f>Q242</f>
        <v>0</v>
      </c>
      <c r="R258" s="131"/>
      <c r="T258" s="250" t="str">
        <f>"Company Responsible Losses @ "&amp;IF(AND(C255&lt;C244,C239&gt;0),MAX(C239-MAX(C255,C251),0),0)&amp;" MW"</f>
        <v>Company Responsible Losses @ 0 MW</v>
      </c>
      <c r="U258" s="245"/>
      <c r="V258" s="245"/>
      <c r="W258" s="245"/>
      <c r="X258" s="246">
        <f>IF(AND(C255&lt;C244,C239&gt;0),MAX(C239-MAX(C251,C255),0)*MIN(C240-C249,0),0)</f>
        <v>0</v>
      </c>
      <c r="Y258" s="247"/>
      <c r="AA258" s="2"/>
      <c r="AB258" s="135" t="s">
        <v>47</v>
      </c>
      <c r="AC258" s="19"/>
      <c r="AD258" s="19"/>
      <c r="AE258" s="19"/>
      <c r="AF258" s="146">
        <f>Q264</f>
        <v>0</v>
      </c>
      <c r="AG258" s="145"/>
    </row>
    <row r="259" spans="1:33" x14ac:dyDescent="0.25">
      <c r="A259" s="144" t="s">
        <v>17</v>
      </c>
      <c r="B259" s="143"/>
      <c r="C259" s="1">
        <v>7</v>
      </c>
      <c r="D259" s="55"/>
      <c r="F259" s="142" t="s">
        <v>51</v>
      </c>
      <c r="G259" s="141"/>
      <c r="H259" s="141"/>
      <c r="I259" s="141"/>
      <c r="J259" s="140">
        <f>Q243</f>
        <v>240.00000000000003</v>
      </c>
      <c r="K259" s="139"/>
      <c r="L259" s="137"/>
      <c r="M259" s="142" t="s">
        <v>51</v>
      </c>
      <c r="N259" s="141"/>
      <c r="O259" s="141"/>
      <c r="P259" s="141"/>
      <c r="Q259" s="140">
        <f>X243</f>
        <v>226.66666666666669</v>
      </c>
      <c r="R259" s="139"/>
      <c r="T259" s="244"/>
      <c r="U259" s="245"/>
      <c r="V259" s="245"/>
      <c r="W259" s="245"/>
      <c r="X259" s="246"/>
      <c r="Y259" s="247"/>
      <c r="AA259" s="129"/>
      <c r="AB259" s="36"/>
      <c r="AC259" s="35"/>
      <c r="AD259" s="35"/>
      <c r="AE259" s="35"/>
      <c r="AF259" s="18"/>
      <c r="AG259" s="17"/>
    </row>
    <row r="260" spans="1:33" x14ac:dyDescent="0.25">
      <c r="A260" s="115" t="s">
        <v>16</v>
      </c>
      <c r="C260" s="55">
        <v>0</v>
      </c>
      <c r="D260" s="55"/>
      <c r="F260" s="47"/>
      <c r="G260" s="63"/>
      <c r="H260" s="63"/>
      <c r="I260" s="63"/>
      <c r="J260" s="1"/>
      <c r="K260" s="131"/>
      <c r="L260" s="137"/>
      <c r="M260" s="136"/>
      <c r="N260" s="2"/>
      <c r="O260" s="2"/>
      <c r="P260" s="2"/>
      <c r="Q260" s="1"/>
      <c r="R260" s="131"/>
      <c r="T260" s="244"/>
      <c r="U260" s="245"/>
      <c r="V260" s="245"/>
      <c r="W260" s="245"/>
      <c r="X260" s="246"/>
      <c r="Y260" s="247"/>
      <c r="AA260" s="129"/>
      <c r="AB260" s="135" t="s">
        <v>50</v>
      </c>
      <c r="AC260" s="19"/>
      <c r="AD260" s="19"/>
      <c r="AE260" s="19"/>
      <c r="AF260" s="18">
        <f>AF254-AF256-AF257-AF258</f>
        <v>236.66666666666674</v>
      </c>
      <c r="AG260" s="17"/>
    </row>
    <row r="261" spans="1:33" x14ac:dyDescent="0.25">
      <c r="A261" s="115" t="s">
        <v>14</v>
      </c>
      <c r="B261" s="120"/>
      <c r="C261" s="55">
        <v>100</v>
      </c>
      <c r="D261" s="55"/>
      <c r="E261" s="138"/>
      <c r="F261" s="47"/>
      <c r="G261" s="63"/>
      <c r="H261" s="63"/>
      <c r="I261" s="63"/>
      <c r="J261" s="1"/>
      <c r="K261" s="131"/>
      <c r="L261" s="137"/>
      <c r="M261" s="136"/>
      <c r="N261" s="2"/>
      <c r="O261" s="2"/>
      <c r="P261" s="2"/>
      <c r="Q261" s="1"/>
      <c r="R261" s="131"/>
      <c r="T261" s="244"/>
      <c r="U261" s="245"/>
      <c r="V261" s="245"/>
      <c r="W261" s="245"/>
      <c r="X261" s="246"/>
      <c r="Y261" s="247"/>
      <c r="AA261" s="129"/>
      <c r="AB261" s="135"/>
      <c r="AC261" s="19"/>
      <c r="AD261" s="19"/>
      <c r="AE261" s="19"/>
      <c r="AF261" s="18"/>
      <c r="AG261" s="17"/>
    </row>
    <row r="262" spans="1:33" ht="15.75" thickBot="1" x14ac:dyDescent="0.3">
      <c r="A262" s="115" t="s">
        <v>13</v>
      </c>
      <c r="B262" s="120"/>
      <c r="C262" s="55">
        <v>50</v>
      </c>
      <c r="D262" s="55"/>
      <c r="F262" s="130" t="str">
        <f>"RT Incremental Cost @ "&amp;C250&amp;" MW"</f>
        <v>RT Incremental Cost @ 80 MW</v>
      </c>
      <c r="G262" s="129"/>
      <c r="H262" s="129"/>
      <c r="I262" s="129"/>
      <c r="J262" s="1">
        <f>T235</f>
        <v>1690</v>
      </c>
      <c r="K262" s="131"/>
      <c r="L262" s="134"/>
      <c r="M262" s="130" t="str">
        <f>"RT Incremental Cost @ "&amp;C248&amp;" MW"</f>
        <v>RT Incremental Cost @ 80 MW</v>
      </c>
      <c r="N262" s="129"/>
      <c r="O262" s="129"/>
      <c r="P262" s="129"/>
      <c r="Q262" s="1">
        <f>M235</f>
        <v>1690</v>
      </c>
      <c r="R262" s="131"/>
      <c r="T262" s="248" t="str">
        <f>"RT Incremental Cost @ "&amp;C251&amp;" MW"</f>
        <v>RT Incremental Cost @ 100 MW</v>
      </c>
      <c r="U262" s="249"/>
      <c r="V262" s="249"/>
      <c r="W262" s="249"/>
      <c r="X262" s="246">
        <v>2250</v>
      </c>
      <c r="Y262" s="247"/>
      <c r="AA262" s="63"/>
      <c r="AB262" s="10" t="s">
        <v>93</v>
      </c>
      <c r="AC262" s="9"/>
      <c r="AD262" s="9"/>
      <c r="AE262" s="9"/>
      <c r="AF262" s="8">
        <f>AF260-X248</f>
        <v>236.66666666666674</v>
      </c>
      <c r="AG262" s="7"/>
    </row>
    <row r="263" spans="1:33" x14ac:dyDescent="0.25">
      <c r="A263" s="115" t="s">
        <v>10</v>
      </c>
      <c r="B263" s="120"/>
      <c r="C263" s="55">
        <v>0.85</v>
      </c>
      <c r="D263" s="55"/>
      <c r="F263" s="130" t="s">
        <v>49</v>
      </c>
      <c r="G263" s="129"/>
      <c r="H263" s="129"/>
      <c r="I263" s="129"/>
      <c r="J263" s="1">
        <f>C253</f>
        <v>0</v>
      </c>
      <c r="K263" s="131"/>
      <c r="L263" s="6"/>
      <c r="M263" s="130" t="s">
        <v>49</v>
      </c>
      <c r="N263" s="129"/>
      <c r="O263" s="129"/>
      <c r="P263" s="129"/>
      <c r="Q263" s="1">
        <f>C253</f>
        <v>0</v>
      </c>
      <c r="R263" s="131"/>
      <c r="T263" s="248" t="s">
        <v>49</v>
      </c>
      <c r="U263" s="249"/>
      <c r="V263" s="249"/>
      <c r="W263" s="249"/>
      <c r="X263" s="246">
        <f>C253</f>
        <v>0</v>
      </c>
      <c r="Y263" s="247"/>
      <c r="AA263" s="127"/>
      <c r="AB263" s="127"/>
      <c r="AC263" s="127"/>
    </row>
    <row r="264" spans="1:33" x14ac:dyDescent="0.25">
      <c r="A264" s="115" t="s">
        <v>48</v>
      </c>
      <c r="C264" s="55">
        <f>IF(C262+C258&gt;C251,MIN((1+C260)*C258+C262,C248),IF(AND(C262+C258&lt;=C251,C261-C258&gt;=C251),IF(C260&gt;0,MIN(C260*C258+C251,C248),MAX(C260*C258+C251,C248)),MAX(C261-(1-C260)*C258,C248)))</f>
        <v>80</v>
      </c>
      <c r="D264" s="55"/>
      <c r="F264" s="130" t="s">
        <v>47</v>
      </c>
      <c r="G264" s="129"/>
      <c r="H264" s="129"/>
      <c r="I264" s="129"/>
      <c r="J264" s="1">
        <f>C252</f>
        <v>0</v>
      </c>
      <c r="K264" s="131"/>
      <c r="L264" s="6"/>
      <c r="M264" s="130" t="s">
        <v>47</v>
      </c>
      <c r="N264" s="129"/>
      <c r="O264" s="129"/>
      <c r="P264" s="129"/>
      <c r="Q264" s="1">
        <f>C252</f>
        <v>0</v>
      </c>
      <c r="R264" s="131"/>
      <c r="T264" s="248" t="s">
        <v>47</v>
      </c>
      <c r="U264" s="249"/>
      <c r="V264" s="249"/>
      <c r="W264" s="249"/>
      <c r="X264" s="246">
        <f>C252</f>
        <v>0</v>
      </c>
      <c r="Y264" s="247"/>
      <c r="AA264" s="63"/>
      <c r="AB264" s="63"/>
      <c r="AC264" s="63"/>
    </row>
    <row r="265" spans="1:33" x14ac:dyDescent="0.25">
      <c r="A265" s="115" t="s">
        <v>7</v>
      </c>
      <c r="C265" s="1">
        <v>0</v>
      </c>
      <c r="D265" s="55"/>
      <c r="F265" s="47" t="str">
        <f>" "</f>
        <v xml:space="preserve"> </v>
      </c>
      <c r="G265" s="63"/>
      <c r="H265" s="63"/>
      <c r="I265" s="63"/>
      <c r="J265" s="1"/>
      <c r="K265" s="131"/>
      <c r="M265" s="47" t="str">
        <f>" "</f>
        <v xml:space="preserve"> </v>
      </c>
      <c r="N265" s="63"/>
      <c r="O265" s="63"/>
      <c r="P265" s="63"/>
      <c r="Q265" s="1"/>
      <c r="R265" s="131"/>
      <c r="T265" s="244" t="str">
        <f>" "</f>
        <v xml:space="preserve"> </v>
      </c>
      <c r="U265" s="245"/>
      <c r="V265" s="245"/>
      <c r="W265" s="245"/>
      <c r="X265" s="246"/>
      <c r="Y265" s="247"/>
      <c r="AA265" s="127"/>
      <c r="AB265" s="127"/>
      <c r="AC265" s="127"/>
      <c r="AE265" s="120"/>
    </row>
    <row r="266" spans="1:33" x14ac:dyDescent="0.25">
      <c r="A266" s="115" t="s">
        <v>5</v>
      </c>
      <c r="C266" s="55">
        <v>0.9</v>
      </c>
      <c r="D266" s="55"/>
      <c r="F266" s="130" t="s">
        <v>46</v>
      </c>
      <c r="G266" s="129"/>
      <c r="H266" s="129"/>
      <c r="I266" s="129"/>
      <c r="J266" s="133">
        <f>J253+J257+J258+J259-J262-J263-J264</f>
        <v>250</v>
      </c>
      <c r="K266" s="132"/>
      <c r="L266" s="120"/>
      <c r="M266" s="128" t="s">
        <v>46</v>
      </c>
      <c r="N266" s="127"/>
      <c r="O266" s="127"/>
      <c r="P266" s="127"/>
      <c r="Q266" s="133">
        <f>Q253+Q257+Q258+Q259-Q262-Q263-Q264</f>
        <v>236.66666666666674</v>
      </c>
      <c r="R266" s="132"/>
      <c r="S266" s="120"/>
      <c r="T266" s="252" t="s">
        <v>46</v>
      </c>
      <c r="U266" s="253"/>
      <c r="V266" s="253"/>
      <c r="W266" s="253"/>
      <c r="X266" s="254">
        <f>X253+X257-X262-X263-X264</f>
        <v>250</v>
      </c>
      <c r="Y266" s="255"/>
      <c r="AA266" s="63"/>
      <c r="AB266" s="63"/>
      <c r="AC266" s="63"/>
      <c r="AF266" s="120"/>
    </row>
    <row r="267" spans="1:33" x14ac:dyDescent="0.25">
      <c r="A267" s="115" t="s">
        <v>90</v>
      </c>
      <c r="C267" s="55">
        <f>IF(C262+C258&gt;C251,C258+C262,IF(AND(C262+C258&lt;=C251,C261-C258&gt;=C251),C251,C261-C258))</f>
        <v>80</v>
      </c>
      <c r="D267" s="55"/>
      <c r="E267" s="122"/>
      <c r="F267" s="47" t="str">
        <f>" "</f>
        <v xml:space="preserve"> </v>
      </c>
      <c r="G267" s="63"/>
      <c r="H267" s="63"/>
      <c r="I267" s="63"/>
      <c r="J267" s="1"/>
      <c r="K267" s="131"/>
      <c r="M267" s="47" t="str">
        <f>" "</f>
        <v xml:space="preserve"> </v>
      </c>
      <c r="N267" s="63"/>
      <c r="O267" s="63"/>
      <c r="P267" s="63"/>
      <c r="Q267" s="1"/>
      <c r="R267" s="131"/>
      <c r="T267" s="244" t="str">
        <f>" "</f>
        <v xml:space="preserve"> </v>
      </c>
      <c r="U267" s="245"/>
      <c r="V267" s="245"/>
      <c r="W267" s="245"/>
      <c r="X267" s="246"/>
      <c r="Y267" s="247"/>
    </row>
    <row r="268" spans="1:33" ht="15.75" thickBot="1" x14ac:dyDescent="0.3">
      <c r="A268" s="13"/>
      <c r="B268" s="12"/>
      <c r="C268" s="4"/>
      <c r="D268" s="11"/>
      <c r="E268" s="12"/>
      <c r="F268" s="130" t="s">
        <v>45</v>
      </c>
      <c r="G268" s="129"/>
      <c r="H268" s="129"/>
      <c r="I268" s="129"/>
      <c r="J268" s="126">
        <f>MAX(MAX(J266*-1,0)-J255,0)</f>
        <v>0</v>
      </c>
      <c r="K268" s="125"/>
      <c r="M268" s="128" t="s">
        <v>45</v>
      </c>
      <c r="N268" s="127"/>
      <c r="O268" s="127"/>
      <c r="P268" s="127"/>
      <c r="Q268" s="126">
        <f>MAX(MAX(Q266*-1,0)-Q255,0)</f>
        <v>0</v>
      </c>
      <c r="R268" s="125"/>
      <c r="T268" s="252" t="s">
        <v>45</v>
      </c>
      <c r="U268" s="253"/>
      <c r="V268" s="253"/>
      <c r="W268" s="253"/>
      <c r="X268" s="256">
        <f>MAX(MAX(X266*-1,0)-X255,0)</f>
        <v>0</v>
      </c>
      <c r="Y268" s="257"/>
    </row>
    <row r="269" spans="1:33" ht="16.5" thickTop="1" thickBot="1" x14ac:dyDescent="0.3">
      <c r="F269" s="59" t="str">
        <f>" "</f>
        <v xml:space="preserve"> </v>
      </c>
      <c r="G269" s="108"/>
      <c r="H269" s="108"/>
      <c r="I269" s="108"/>
      <c r="J269" s="23"/>
      <c r="K269" s="124"/>
      <c r="L269" s="29"/>
      <c r="M269" s="59" t="str">
        <f>" "</f>
        <v xml:space="preserve"> </v>
      </c>
      <c r="N269" s="108"/>
      <c r="O269" s="108"/>
      <c r="P269" s="108"/>
      <c r="Q269" s="23"/>
      <c r="R269" s="123"/>
      <c r="S269" s="29"/>
      <c r="T269" s="238" t="str">
        <f>" "</f>
        <v xml:space="preserve"> </v>
      </c>
      <c r="U269" s="239"/>
      <c r="V269" s="239"/>
      <c r="W269" s="239"/>
      <c r="X269" s="258"/>
      <c r="Y269" s="259"/>
    </row>
    <row r="270" spans="1:33" x14ac:dyDescent="0.25">
      <c r="F270" s="122"/>
      <c r="G270" s="122"/>
      <c r="H270" s="122"/>
      <c r="I270" s="122"/>
      <c r="J270" s="120"/>
      <c r="K270" s="121"/>
      <c r="L270" s="121"/>
      <c r="M270" s="121"/>
      <c r="N270" s="121"/>
      <c r="O270" s="121"/>
      <c r="Q270" s="121"/>
      <c r="R270" s="121"/>
      <c r="S270" s="121"/>
      <c r="T270" s="121"/>
      <c r="U270" s="121"/>
    </row>
    <row r="271" spans="1:33" x14ac:dyDescent="0.25">
      <c r="F271" s="12"/>
      <c r="G271" s="12"/>
      <c r="H271" s="12"/>
      <c r="I271" s="12"/>
      <c r="J271" s="120"/>
      <c r="K271" s="12"/>
      <c r="L271" s="12"/>
      <c r="M271" s="12"/>
      <c r="N271" s="12"/>
      <c r="O271" s="12"/>
      <c r="Q271" s="119"/>
      <c r="R271" s="12"/>
      <c r="S271" s="12"/>
      <c r="T271" s="12"/>
      <c r="U271" s="12"/>
    </row>
    <row r="272" spans="1:33" x14ac:dyDescent="0.25">
      <c r="L272" s="118"/>
    </row>
    <row r="273" spans="8:18" x14ac:dyDescent="0.25">
      <c r="H273" s="55"/>
      <c r="I273" s="117" t="s">
        <v>44</v>
      </c>
      <c r="J273" s="116"/>
      <c r="K273" s="55"/>
      <c r="L273" s="55"/>
    </row>
    <row r="274" spans="8:18" x14ac:dyDescent="0.25">
      <c r="H274" s="115" t="s">
        <v>43</v>
      </c>
      <c r="I274" s="55" t="s">
        <v>42</v>
      </c>
      <c r="J274" s="55"/>
      <c r="K274" s="55"/>
      <c r="L274" s="55"/>
      <c r="M274" s="54">
        <f>MIN(J268,Q268)</f>
        <v>0</v>
      </c>
      <c r="O274" s="114">
        <f>MIN(Q268,X268)</f>
        <v>0</v>
      </c>
    </row>
    <row r="275" spans="8:18" ht="30" x14ac:dyDescent="0.25">
      <c r="I275" s="113" t="s">
        <v>41</v>
      </c>
      <c r="J275" s="113"/>
      <c r="K275" s="113"/>
      <c r="L275" s="113"/>
      <c r="M275" s="113"/>
      <c r="N275" s="113"/>
      <c r="O275" s="113"/>
      <c r="P275" s="113"/>
      <c r="Q275" s="55"/>
      <c r="R275" s="55"/>
    </row>
    <row r="276" spans="8:18" x14ac:dyDescent="0.25">
      <c r="I276" s="113"/>
      <c r="J276" s="113"/>
      <c r="K276" s="113"/>
      <c r="L276" s="113"/>
      <c r="M276" s="113"/>
      <c r="N276" s="113"/>
      <c r="O276" s="113"/>
      <c r="P276" s="113"/>
      <c r="Q276" s="55"/>
      <c r="R276" s="55"/>
    </row>
    <row r="277" spans="8:18" x14ac:dyDescent="0.25">
      <c r="I277" s="113"/>
      <c r="J277" s="113"/>
      <c r="K277" s="113"/>
      <c r="L277" s="113"/>
      <c r="M277" s="113"/>
      <c r="N277" s="113"/>
      <c r="O277" s="113"/>
      <c r="P277" s="113"/>
      <c r="Q277" s="55"/>
      <c r="R277" s="55"/>
    </row>
    <row r="278" spans="8:18" x14ac:dyDescent="0.25">
      <c r="I278" s="113"/>
      <c r="J278" s="113"/>
      <c r="K278" s="113"/>
      <c r="L278" s="113"/>
      <c r="M278" s="113"/>
      <c r="N278" s="113"/>
      <c r="O278" s="113"/>
      <c r="P278" s="113"/>
      <c r="Q278" s="55"/>
      <c r="R278" s="55"/>
    </row>
    <row r="279" spans="8:18" x14ac:dyDescent="0.25">
      <c r="I279" s="113"/>
      <c r="J279" s="113"/>
      <c r="K279" s="113"/>
      <c r="L279" s="113"/>
      <c r="M279" s="113"/>
      <c r="N279" s="113"/>
      <c r="O279" s="113"/>
      <c r="P279" s="113"/>
      <c r="Q279" s="55"/>
      <c r="R279" s="55"/>
    </row>
    <row r="280" spans="8:18" x14ac:dyDescent="0.25">
      <c r="I280" s="113"/>
      <c r="J280" s="113"/>
      <c r="K280" s="113"/>
      <c r="L280" s="113"/>
      <c r="M280" s="113"/>
      <c r="N280" s="113"/>
      <c r="O280" s="113"/>
      <c r="P280" s="113"/>
      <c r="Q280" s="55"/>
      <c r="R280" s="55"/>
    </row>
    <row r="281" spans="8:18" x14ac:dyDescent="0.25">
      <c r="I281" s="113"/>
      <c r="J281" s="113"/>
      <c r="K281" s="113"/>
      <c r="L281" s="113"/>
      <c r="M281" s="113"/>
      <c r="N281" s="113"/>
      <c r="O281" s="113"/>
      <c r="P281" s="113"/>
      <c r="Q281" s="55"/>
      <c r="R281" s="55"/>
    </row>
    <row r="282" spans="8:18" x14ac:dyDescent="0.25">
      <c r="I282" s="113"/>
      <c r="J282" s="113"/>
      <c r="K282" s="113"/>
      <c r="L282" s="113"/>
      <c r="M282" s="113"/>
      <c r="N282" s="113"/>
      <c r="O282" s="113"/>
      <c r="P282" s="113"/>
      <c r="Q282" s="55"/>
      <c r="R282" s="55"/>
    </row>
    <row r="283" spans="8:18" x14ac:dyDescent="0.25">
      <c r="I283" s="113"/>
      <c r="J283" s="113"/>
      <c r="K283" s="113"/>
      <c r="L283" s="113"/>
      <c r="M283" s="113"/>
      <c r="N283" s="113"/>
      <c r="O283" s="113"/>
      <c r="P283" s="113"/>
      <c r="Q283" s="55"/>
      <c r="R283" s="55"/>
    </row>
    <row r="284" spans="8:18" x14ac:dyDescent="0.25">
      <c r="I284" s="113"/>
      <c r="J284" s="113"/>
      <c r="K284" s="113"/>
      <c r="L284" s="113"/>
      <c r="M284" s="113"/>
      <c r="N284" s="113"/>
      <c r="O284" s="113"/>
      <c r="P284" s="113"/>
      <c r="Q284" s="55"/>
      <c r="R284" s="55"/>
    </row>
    <row r="285" spans="8:18" x14ac:dyDescent="0.25">
      <c r="I285" s="113"/>
      <c r="J285" s="113"/>
      <c r="K285" s="113"/>
      <c r="L285" s="113"/>
      <c r="M285" s="113"/>
      <c r="N285" s="113"/>
      <c r="O285" s="113"/>
      <c r="P285" s="113"/>
      <c r="Q285" s="55"/>
      <c r="R285" s="55"/>
    </row>
    <row r="286" spans="8:18" x14ac:dyDescent="0.25">
      <c r="I286" s="113"/>
      <c r="J286" s="113"/>
      <c r="K286" s="113"/>
      <c r="L286" s="113"/>
      <c r="M286" s="113"/>
      <c r="N286" s="113"/>
      <c r="O286" s="113"/>
      <c r="P286" s="113"/>
      <c r="Q286" s="55"/>
      <c r="R286" s="55"/>
    </row>
    <row r="287" spans="8:18" x14ac:dyDescent="0.25">
      <c r="I287" s="113"/>
      <c r="J287" s="113"/>
      <c r="K287" s="113"/>
      <c r="L287" s="113"/>
      <c r="M287" s="113"/>
      <c r="N287" s="113"/>
      <c r="O287" s="113"/>
      <c r="P287" s="113"/>
      <c r="Q287" s="55"/>
      <c r="R287" s="55"/>
    </row>
    <row r="288" spans="8:18" x14ac:dyDescent="0.25">
      <c r="I288" s="113"/>
      <c r="J288" s="113"/>
      <c r="K288" s="113"/>
      <c r="L288" s="113"/>
      <c r="M288" s="113"/>
      <c r="N288" s="113"/>
      <c r="O288" s="113"/>
      <c r="P288" s="113"/>
      <c r="Q288" s="55"/>
      <c r="R288" s="55"/>
    </row>
    <row r="289" spans="9:18" x14ac:dyDescent="0.25">
      <c r="I289" s="113"/>
      <c r="J289" s="113"/>
      <c r="K289" s="113"/>
      <c r="L289" s="113"/>
      <c r="M289" s="113"/>
      <c r="N289" s="113"/>
      <c r="O289" s="113"/>
      <c r="P289" s="113"/>
      <c r="Q289" s="55"/>
      <c r="R289" s="55"/>
    </row>
    <row r="290" spans="9:18" x14ac:dyDescent="0.25">
      <c r="I290" s="113"/>
      <c r="J290" s="113"/>
      <c r="K290" s="113"/>
      <c r="L290" s="113"/>
      <c r="M290" s="113"/>
      <c r="N290" s="113"/>
      <c r="O290" s="113"/>
      <c r="P290" s="113"/>
      <c r="Q290" s="55"/>
      <c r="R290" s="55"/>
    </row>
    <row r="291" spans="9:18" x14ac:dyDescent="0.25">
      <c r="I291" s="113"/>
      <c r="J291" s="113"/>
      <c r="K291" s="113"/>
      <c r="L291" s="113"/>
      <c r="M291" s="113"/>
      <c r="N291" s="113"/>
      <c r="O291" s="113"/>
      <c r="P291" s="113"/>
      <c r="Q291" s="55"/>
      <c r="R291" s="55"/>
    </row>
    <row r="292" spans="9:18" x14ac:dyDescent="0.25">
      <c r="I292" s="113"/>
      <c r="J292" s="113"/>
      <c r="K292" s="113"/>
      <c r="L292" s="113"/>
      <c r="M292" s="113"/>
      <c r="N292" s="113"/>
      <c r="O292" s="113"/>
      <c r="P292" s="113"/>
      <c r="Q292" s="55"/>
      <c r="R292" s="55"/>
    </row>
    <row r="293" spans="9:18" x14ac:dyDescent="0.25">
      <c r="I293" s="113"/>
      <c r="J293" s="113"/>
      <c r="K293" s="113"/>
      <c r="L293" s="113"/>
      <c r="M293" s="113"/>
      <c r="N293" s="113"/>
      <c r="O293" s="113"/>
      <c r="P293" s="113"/>
      <c r="Q293" s="55"/>
      <c r="R293" s="55"/>
    </row>
    <row r="294" spans="9:18" x14ac:dyDescent="0.25">
      <c r="I294" s="113"/>
      <c r="J294" s="113"/>
      <c r="K294" s="113"/>
      <c r="L294" s="113"/>
      <c r="M294" s="113"/>
      <c r="N294" s="113"/>
      <c r="O294" s="113"/>
      <c r="P294" s="113"/>
      <c r="Q294" s="55"/>
      <c r="R294" s="55"/>
    </row>
    <row r="295" spans="9:18" x14ac:dyDescent="0.25">
      <c r="I295" s="113"/>
      <c r="J295" s="113"/>
      <c r="K295" s="113"/>
      <c r="L295" s="113"/>
      <c r="M295" s="113"/>
      <c r="N295" s="113"/>
      <c r="O295" s="113"/>
      <c r="P295" s="113"/>
      <c r="Q295" s="55"/>
      <c r="R295" s="55"/>
    </row>
    <row r="296" spans="9:18" x14ac:dyDescent="0.25">
      <c r="I296" s="113"/>
      <c r="J296" s="113"/>
      <c r="K296" s="113"/>
      <c r="L296" s="113"/>
      <c r="M296" s="113"/>
      <c r="N296" s="113"/>
      <c r="O296" s="113"/>
      <c r="P296" s="113"/>
      <c r="Q296" s="55"/>
      <c r="R296" s="55"/>
    </row>
    <row r="297" spans="9:18" x14ac:dyDescent="0.25">
      <c r="I297" s="113"/>
      <c r="J297" s="113"/>
      <c r="K297" s="113"/>
      <c r="L297" s="113"/>
      <c r="M297" s="113"/>
      <c r="N297" s="113"/>
      <c r="O297" s="113"/>
      <c r="P297" s="113"/>
      <c r="Q297" s="55"/>
      <c r="R297" s="55"/>
    </row>
    <row r="298" spans="9:18" x14ac:dyDescent="0.25">
      <c r="I298" s="113"/>
      <c r="J298" s="113"/>
      <c r="K298" s="113"/>
      <c r="L298" s="113"/>
      <c r="M298" s="113"/>
      <c r="N298" s="113"/>
      <c r="O298" s="113"/>
      <c r="P298" s="113"/>
      <c r="Q298" s="55"/>
      <c r="R298" s="55"/>
    </row>
    <row r="299" spans="9:18" x14ac:dyDescent="0.25">
      <c r="I299" s="113"/>
      <c r="J299" s="113"/>
      <c r="K299" s="113"/>
      <c r="L299" s="113"/>
      <c r="M299" s="113"/>
      <c r="N299" s="113"/>
      <c r="O299" s="113"/>
      <c r="P299" s="113"/>
      <c r="Q299" s="55"/>
      <c r="R299" s="55"/>
    </row>
    <row r="300" spans="9:18" x14ac:dyDescent="0.25">
      <c r="I300" s="113"/>
      <c r="J300" s="113"/>
      <c r="K300" s="113"/>
      <c r="L300" s="113"/>
      <c r="M300" s="113"/>
      <c r="N300" s="113"/>
      <c r="O300" s="113"/>
      <c r="P300" s="113"/>
      <c r="Q300" s="55"/>
      <c r="R300" s="55"/>
    </row>
    <row r="301" spans="9:18" x14ac:dyDescent="0.25">
      <c r="I301" s="113"/>
      <c r="J301" s="113"/>
      <c r="K301" s="113"/>
      <c r="L301" s="113"/>
      <c r="M301" s="113"/>
      <c r="N301" s="113"/>
      <c r="O301" s="113"/>
      <c r="P301" s="113"/>
      <c r="Q301" s="55"/>
      <c r="R301" s="55"/>
    </row>
    <row r="302" spans="9:18" x14ac:dyDescent="0.25">
      <c r="I302" s="113"/>
      <c r="J302" s="113"/>
      <c r="K302" s="113"/>
      <c r="L302" s="113"/>
      <c r="M302" s="113"/>
      <c r="N302" s="113"/>
      <c r="O302" s="113"/>
      <c r="P302" s="113"/>
      <c r="Q302" s="55"/>
      <c r="R302" s="55"/>
    </row>
    <row r="303" spans="9:18" x14ac:dyDescent="0.25">
      <c r="I303" s="113"/>
      <c r="J303" s="113"/>
      <c r="K303" s="113"/>
      <c r="L303" s="113"/>
      <c r="M303" s="113"/>
      <c r="N303" s="113"/>
      <c r="O303" s="113"/>
      <c r="P303" s="113"/>
      <c r="Q303" s="55"/>
      <c r="R303" s="55"/>
    </row>
    <row r="304" spans="9:18" x14ac:dyDescent="0.25">
      <c r="I304" s="113"/>
      <c r="J304" s="113"/>
      <c r="K304" s="113"/>
      <c r="L304" s="113"/>
      <c r="M304" s="113"/>
      <c r="N304" s="113"/>
      <c r="O304" s="113"/>
      <c r="P304" s="113"/>
      <c r="Q304" s="55"/>
      <c r="R304" s="55"/>
    </row>
    <row r="306" spans="1:34" ht="21.75" thickBot="1" x14ac:dyDescent="0.4">
      <c r="A306" s="217" t="s">
        <v>103</v>
      </c>
      <c r="B306" s="112"/>
      <c r="C306" s="112"/>
      <c r="D306" s="112"/>
      <c r="E306" s="112"/>
      <c r="F306" s="112"/>
      <c r="G306" s="112"/>
      <c r="H306" s="112"/>
      <c r="I306" s="112"/>
      <c r="J306" s="112"/>
      <c r="K306" s="112"/>
      <c r="L306" s="112"/>
      <c r="M306" s="112"/>
      <c r="N306" s="112"/>
      <c r="O306" s="112"/>
      <c r="P306" s="112"/>
      <c r="Q306" s="207"/>
      <c r="R306" s="207"/>
      <c r="S306" s="207"/>
      <c r="T306" s="207"/>
    </row>
    <row r="307" spans="1:34" ht="15.75" thickBot="1" x14ac:dyDescent="0.3">
      <c r="A307" s="206" t="s">
        <v>40</v>
      </c>
      <c r="B307" s="205"/>
      <c r="C307" s="205"/>
      <c r="D307" s="199"/>
      <c r="E307" s="53" t="s">
        <v>82</v>
      </c>
      <c r="F307" s="95"/>
      <c r="G307" s="94"/>
      <c r="H307" s="156" t="s">
        <v>87</v>
      </c>
      <c r="I307" s="155"/>
      <c r="J307" s="157"/>
      <c r="K307" s="156" t="s">
        <v>86</v>
      </c>
      <c r="L307" s="155"/>
      <c r="M307" s="157"/>
      <c r="N307" s="156" t="s">
        <v>85</v>
      </c>
      <c r="O307" s="155"/>
      <c r="P307" s="157"/>
      <c r="Q307" s="156" t="s">
        <v>88</v>
      </c>
      <c r="R307" s="155"/>
      <c r="S307" s="155"/>
      <c r="T307" s="157"/>
      <c r="U307" s="156" t="s">
        <v>36</v>
      </c>
      <c r="V307" s="155"/>
      <c r="W307" s="155"/>
      <c r="X307" s="157"/>
    </row>
    <row r="308" spans="1:34" ht="30.75" thickBot="1" x14ac:dyDescent="0.3">
      <c r="A308" s="106" t="s">
        <v>35</v>
      </c>
      <c r="B308" s="89" t="s">
        <v>34</v>
      </c>
      <c r="C308" s="89" t="s">
        <v>33</v>
      </c>
      <c r="D308" s="105" t="s">
        <v>39</v>
      </c>
      <c r="E308" s="204" t="s">
        <v>75</v>
      </c>
      <c r="F308" s="92" t="s">
        <v>84</v>
      </c>
      <c r="G308" s="91" t="s">
        <v>83</v>
      </c>
      <c r="H308" s="204" t="s">
        <v>75</v>
      </c>
      <c r="I308" s="92" t="s">
        <v>32</v>
      </c>
      <c r="J308" s="91" t="s">
        <v>31</v>
      </c>
      <c r="K308" s="204" t="s">
        <v>75</v>
      </c>
      <c r="L308" s="92" t="s">
        <v>32</v>
      </c>
      <c r="M308" s="91" t="s">
        <v>31</v>
      </c>
      <c r="N308" s="204" t="s">
        <v>75</v>
      </c>
      <c r="O308" s="92" t="s">
        <v>32</v>
      </c>
      <c r="P308" s="91" t="s">
        <v>31</v>
      </c>
      <c r="Q308" s="90" t="s">
        <v>38</v>
      </c>
      <c r="R308" s="89" t="s">
        <v>37</v>
      </c>
      <c r="S308" s="89" t="s">
        <v>32</v>
      </c>
      <c r="T308" s="88" t="s">
        <v>31</v>
      </c>
      <c r="U308" s="90" t="s">
        <v>38</v>
      </c>
      <c r="V308" s="89" t="s">
        <v>37</v>
      </c>
      <c r="W308" s="89" t="s">
        <v>32</v>
      </c>
      <c r="X308" s="88" t="s">
        <v>31</v>
      </c>
    </row>
    <row r="309" spans="1:34" x14ac:dyDescent="0.25">
      <c r="A309" s="104">
        <v>1</v>
      </c>
      <c r="B309" s="102">
        <v>0</v>
      </c>
      <c r="C309" s="102">
        <v>50</v>
      </c>
      <c r="D309" s="84">
        <v>20</v>
      </c>
      <c r="E309" s="203">
        <f>IF(AND(C323&gt;B309,C323&lt;=C309),C323,0)</f>
        <v>50</v>
      </c>
      <c r="F309" s="85">
        <f>IF(C323&gt;0,D309,0)</f>
        <v>20</v>
      </c>
      <c r="G309" s="84">
        <f>IF(E309&gt;0,IF(E309=B309,D309,IF(AND(E309&gt;B309,E309&lt;=C309),D309+(E309-B309)*((D309-D309)/(C309-B309)),0)),0)</f>
        <v>20</v>
      </c>
      <c r="H309" s="202">
        <f>IF(AND(C332&gt;B309,C332&lt;=C309),C332,0)</f>
        <v>0</v>
      </c>
      <c r="I309" s="85">
        <f>IF(C332&gt;0,D309,0)</f>
        <v>20</v>
      </c>
      <c r="J309" s="84">
        <f>IF(H309&gt;0,IF(H309=B309,D309,IF(AND(H309&gt;B309,H309&lt;=C309),D309+(H309-B309)*((D309-D309)/(C309-B309)),0)),0)</f>
        <v>0</v>
      </c>
      <c r="K309" s="103">
        <f>IF(AND(C334&gt;B309,C334&lt;=C309),C334,0)</f>
        <v>0</v>
      </c>
      <c r="L309" s="85">
        <f>IF(C332&gt;0,D309,0)</f>
        <v>20</v>
      </c>
      <c r="M309" s="84">
        <f>IF(K309&gt;0,IF(K309=B309,D309,IF(AND(K309&gt;B309,K309&lt;=C309),D309+(K309-B309)*((D309-D309)/(C309-B309)),0)),0)</f>
        <v>0</v>
      </c>
      <c r="N309" s="103">
        <f>IF(AND(C335&gt;E309,C335&lt;=F309),C335,0)</f>
        <v>0</v>
      </c>
      <c r="O309" s="85">
        <f>IF(C335&gt;0,D309,0)</f>
        <v>20</v>
      </c>
      <c r="P309" s="84">
        <f>IF(N309&gt;0,IF(N309=B309,D309,IF(AND(N309&gt;B309,N309&lt;=C309),D309+(N309-B309)*((D309-D309)/(C309-B309)),0)),0)</f>
        <v>0</v>
      </c>
      <c r="Q309" s="103">
        <f>IF(MIN(C335,C351)=C309,C309,0)</f>
        <v>50</v>
      </c>
      <c r="R309" s="102">
        <f>IF(MAX(C335,C351)=C309,C309,0)</f>
        <v>0</v>
      </c>
      <c r="S309" s="85">
        <f>IF(Q309&gt;0,D309,0)</f>
        <v>20</v>
      </c>
      <c r="T309" s="84">
        <f>IF(R309&gt;0,IF(R309=B309,D309,IF(AND(R309&gt;B309,R309&lt;=C309),D309+(R309-B309)*((D309-D309)/(C309-B309)),0)),0)</f>
        <v>0</v>
      </c>
      <c r="U309" s="103">
        <f>IF(MIN(C335,C351)=C309,C309,0)</f>
        <v>50</v>
      </c>
      <c r="V309" s="102">
        <f>IF(MAX(C335,C351)=C309,C309,0)</f>
        <v>0</v>
      </c>
      <c r="W309" s="85">
        <f>IF(U309&gt;0,D309,0)</f>
        <v>20</v>
      </c>
      <c r="X309" s="84">
        <f>IF(V309&gt;0,IF(V309=B309,D309,IF(AND(V309&gt;B309,V309&lt;=C309),D309+(V309-B309)*((D309-D309)/(C309-B309)),0)),0)</f>
        <v>0</v>
      </c>
    </row>
    <row r="310" spans="1:34" x14ac:dyDescent="0.25">
      <c r="A310" s="30">
        <v>2</v>
      </c>
      <c r="B310" s="29">
        <v>50</v>
      </c>
      <c r="C310" s="29">
        <v>75</v>
      </c>
      <c r="D310" s="81">
        <v>25</v>
      </c>
      <c r="E310" s="201">
        <f>IF(AND(C323&gt;B310,C323&lt;=C310),C323,0)</f>
        <v>0</v>
      </c>
      <c r="F310" s="1">
        <v>0</v>
      </c>
      <c r="G310" s="81">
        <f>IF(E310&gt;0,IF(AND(E310&gt;B310,E310&lt;C310),D309+(E310-B310)*((D310-D309)/(C310-B310)),0),0)</f>
        <v>0</v>
      </c>
      <c r="H310" s="101">
        <f>IF(AND(C332&gt;B310,C332&lt;=C310),C332,0)</f>
        <v>70</v>
      </c>
      <c r="I310" s="1">
        <v>0</v>
      </c>
      <c r="J310" s="81">
        <f>IF(H310&gt;0,IF(H310=B310,D310,IF(AND(H310&gt;B310,H310&lt;=C310),D309+(H310-B310)*((D310-D309)/(C310-B310)),0)),0)</f>
        <v>24</v>
      </c>
      <c r="K310" s="101">
        <f>IF(AND(C334&gt;B310,C334&lt;=C310),C334,0)</f>
        <v>70</v>
      </c>
      <c r="L310" s="1">
        <v>0</v>
      </c>
      <c r="M310" s="81">
        <f>IF(K310&gt;0,IF(K310=B310,D310,IF(AND(K310&gt;B310,K310&lt;=C310),D309+(K310-B310)*((D310-D309)/(C310-B310)),0)),0)</f>
        <v>24</v>
      </c>
      <c r="N310" s="101">
        <f>IF(AND(C335&gt;B310,C335&lt;=C310),C335,0)</f>
        <v>0</v>
      </c>
      <c r="O310" s="1">
        <v>0</v>
      </c>
      <c r="P310" s="81">
        <f>IF(N310&gt;0,IF(N310=B310,D310,IF(AND(N310&gt;B310,N310&lt;=C310),D309+(N310-B310)*((D310-D309)/(C310-B310)),0)),0)</f>
        <v>0</v>
      </c>
      <c r="Q310" s="101">
        <f>IF(AND(MIN(C335,C351)&gt;B310,MIN(C335,C351)&lt;=C310),MIN(C335,C351),0)</f>
        <v>0</v>
      </c>
      <c r="R310" s="29">
        <f>IF(AND(MAX(C335,C351)&gt;B310,MAX(C335,C351)&lt;=C310),MAX(C335,C351),0)</f>
        <v>70</v>
      </c>
      <c r="S310" s="1">
        <f>IF(Q310&gt;0,IF(Q310=B310,D310,IF(AND(Q310&gt;B310,Q310&lt;=C310),D309+(Q310-B310)*((D310-D309)/(C310-B310)),0)),0)</f>
        <v>0</v>
      </c>
      <c r="T310" s="81">
        <f>IF(R310&gt;0,IF(R310=B310,D310,IF(AND(R310&gt;B310,R310&lt;=C310),D309+(R310-B310)*((D310-D309)/(C310-B310)),0)),0)</f>
        <v>24</v>
      </c>
      <c r="U310" s="101">
        <f>IF(AND(MIN(C335,C351)&gt;B310,MIN(C335,C351)&lt;=C310),MIN(C335,C351),0)</f>
        <v>0</v>
      </c>
      <c r="V310" s="29">
        <f>IF(AND(MAX(C335,C351)&gt;B310,MAX(C335,C351)&lt;=C310),MAX(C335,C351),0)</f>
        <v>70</v>
      </c>
      <c r="W310" s="1">
        <f>IF(U310&gt;0,IF(U310=B310,D310,IF(AND(U310&gt;B310,U310&lt;=C310),D309+(U310-B310)*((D310-D309)/(C310-B310)),0)),0)</f>
        <v>0</v>
      </c>
      <c r="X310" s="81">
        <f>IF(V310&gt;0,IF(V310=B310,D310,IF(AND(V310&gt;B310,V310&lt;=C310),D309+(V310-B310)*((D310-D309)/(C310-B310)),0)),0)</f>
        <v>24</v>
      </c>
    </row>
    <row r="311" spans="1:34" ht="15.75" thickBot="1" x14ac:dyDescent="0.3">
      <c r="A311" s="100">
        <v>3</v>
      </c>
      <c r="B311" s="98">
        <v>75</v>
      </c>
      <c r="C311" s="98">
        <v>100</v>
      </c>
      <c r="D311" s="97">
        <v>30</v>
      </c>
      <c r="E311" s="200">
        <f>IF(AND(C323&gt;B311,C323&lt;=C311),C323,IF(C323&gt;C311,C323,0))</f>
        <v>0</v>
      </c>
      <c r="F311" s="23">
        <v>0</v>
      </c>
      <c r="G311" s="97">
        <f>IF(E311&gt;0,IF(E311=C311,D311,IF(AND(E311&gt;B311,E311&lt;C311),D310+(E311-B311)*((D311-D310)/(C311-B311)),IF(E311&gt;C311,D311,0))),0)</f>
        <v>0</v>
      </c>
      <c r="H311" s="99">
        <f>IF(AND(C332&gt;B311,C332&lt;=C311),C332,IF(C332&gt;C311,C332,0))</f>
        <v>0</v>
      </c>
      <c r="I311" s="23">
        <v>0</v>
      </c>
      <c r="J311" s="97">
        <f>IF(H311&gt;0,IF(H311=B311,D311,IF(AND(H311&gt;B311,H311&lt;=C311),D310+(H311-B311)*((D311-D310)/(C311-B311)),IF(H311&gt;C311,D311,0))),0)</f>
        <v>0</v>
      </c>
      <c r="K311" s="99">
        <f>IF(AND(C334&gt;B311,C334&lt;=C311),C334,IF(C334&gt;C311,C334,0))</f>
        <v>0</v>
      </c>
      <c r="L311" s="23">
        <v>0</v>
      </c>
      <c r="M311" s="97">
        <f>IF(K311&gt;0,IF(K311=B311,D311,IF(AND(K311&gt;B311,K311&lt;=C311),D310+(K311-B311)*((D311-D310)/(C311-B311)),IF(K311&gt;C311,D311,0))),0)</f>
        <v>0</v>
      </c>
      <c r="N311" s="99">
        <f>IF(AND(C335&gt;B311,C335&lt;=C311),C335,IF(C335&gt;C311,C335,0))</f>
        <v>0</v>
      </c>
      <c r="O311" s="23">
        <v>0</v>
      </c>
      <c r="P311" s="97">
        <f>IF(N311&gt;0,IF(N311=B311,D311,IF(AND(N311&gt;B311,N311&lt;=C311),D310+(N311-B311)*((D311-D310)/(C311-B311)),IF(N311&gt;C311,D311,0))),0)</f>
        <v>0</v>
      </c>
      <c r="Q311" s="99">
        <f>IF(AND(MIN(C335,C351)&gt;B311,MIN(C335,C351)&lt;=C311),MIN(C335,C351),0)</f>
        <v>0</v>
      </c>
      <c r="R311" s="98">
        <f>IF(OR(AND(MAX(C335,C351)&gt;B311,MAX(C335,C351)&lt;=C311),MAX(C335,C351)&gt;C311),MAX(C335,C351),0)</f>
        <v>0</v>
      </c>
      <c r="S311" s="23">
        <f>IF(Q311&gt;0,IF(Q311=B311,D311,IF(AND(Q311&gt;B311,Q311&lt;=C311),D310+(Q311-B311)*((D311-D310)/(C311-B311)),IF(Q311&gt;C311,D311,0))),0)</f>
        <v>0</v>
      </c>
      <c r="T311" s="97">
        <f>IF(R311&gt;0,IF(R311=B311,D311,IF(AND(R311&gt;B311,R311&lt;=C311),D310+(R311-B311)*((D311-D310)/(C311-B311)),IF(R311&gt;C311,D311,0))),0)</f>
        <v>0</v>
      </c>
      <c r="U311" s="99">
        <f>IF(AND(MIN(C335,C351)&gt;B311,MIN(C335,C351)&lt;=C311),MIN(C335,C351),0)</f>
        <v>0</v>
      </c>
      <c r="V311" s="98">
        <f>IF(AND(MAX(C335,C351)&gt;B311,MAX(C335,C351)&lt;=C311),MAX(C335,C351),0)</f>
        <v>0</v>
      </c>
      <c r="W311" s="23">
        <f>IF(U311&gt;0,IF(U311=B311,D311,IF(AND(U311&gt;B311,U311&lt;=C311),D310+(U311-B311)*((D311-D310)/(C311-B311)),IF(U311&gt;C311,D311,0))),0)</f>
        <v>0</v>
      </c>
      <c r="X311" s="97">
        <f>IF(V311&gt;0,IF(V311=B311,D311,IF(AND(V311&gt;B311,V311&lt;=C311),D310+(V311-B311)*((D311-D310)/(C311-B311)),IF(V311&gt;C311,D311,0))),0)</f>
        <v>0</v>
      </c>
    </row>
    <row r="312" spans="1:34" ht="15.75" thickBot="1" x14ac:dyDescent="0.3">
      <c r="J312" s="96"/>
    </row>
    <row r="313" spans="1:34" ht="15.75" thickBot="1" x14ac:dyDescent="0.3">
      <c r="A313" s="156" t="s">
        <v>82</v>
      </c>
      <c r="B313" s="156"/>
      <c r="C313" s="155"/>
      <c r="D313" s="155"/>
      <c r="E313" s="155"/>
      <c r="F313" s="157"/>
      <c r="G313" s="198"/>
      <c r="H313" s="53" t="s">
        <v>81</v>
      </c>
      <c r="I313" s="95"/>
      <c r="J313" s="95"/>
      <c r="K313" s="95"/>
      <c r="L313" s="95"/>
      <c r="M313" s="94"/>
      <c r="O313" s="53" t="s">
        <v>80</v>
      </c>
      <c r="P313" s="95"/>
      <c r="Q313" s="95"/>
      <c r="R313" s="95"/>
      <c r="S313" s="95"/>
      <c r="T313" s="94"/>
      <c r="V313" s="53" t="s">
        <v>88</v>
      </c>
      <c r="W313" s="95"/>
      <c r="X313" s="95"/>
      <c r="Y313" s="95"/>
      <c r="Z313" s="95"/>
      <c r="AA313" s="94"/>
      <c r="AC313" s="53" t="s">
        <v>36</v>
      </c>
      <c r="AD313" s="95"/>
      <c r="AE313" s="95"/>
      <c r="AF313" s="95"/>
      <c r="AG313" s="95"/>
      <c r="AH313" s="94"/>
    </row>
    <row r="314" spans="1:34" ht="30.75" thickBot="1" x14ac:dyDescent="0.3">
      <c r="A314" s="90" t="s">
        <v>35</v>
      </c>
      <c r="B314" s="89" t="s">
        <v>34</v>
      </c>
      <c r="C314" s="89" t="s">
        <v>33</v>
      </c>
      <c r="D314" s="89" t="s">
        <v>32</v>
      </c>
      <c r="E314" s="89" t="s">
        <v>31</v>
      </c>
      <c r="F314" s="199" t="s">
        <v>30</v>
      </c>
      <c r="G314" s="198"/>
      <c r="H314" s="93" t="s">
        <v>35</v>
      </c>
      <c r="I314" s="92" t="s">
        <v>34</v>
      </c>
      <c r="J314" s="92" t="s">
        <v>33</v>
      </c>
      <c r="K314" s="92" t="s">
        <v>32</v>
      </c>
      <c r="L314" s="92" t="s">
        <v>31</v>
      </c>
      <c r="M314" s="91" t="s">
        <v>30</v>
      </c>
      <c r="O314" s="93" t="s">
        <v>35</v>
      </c>
      <c r="P314" s="92" t="s">
        <v>34</v>
      </c>
      <c r="Q314" s="92" t="s">
        <v>33</v>
      </c>
      <c r="R314" s="92" t="s">
        <v>32</v>
      </c>
      <c r="S314" s="92" t="s">
        <v>31</v>
      </c>
      <c r="T314" s="91" t="s">
        <v>30</v>
      </c>
      <c r="V314" s="93" t="s">
        <v>35</v>
      </c>
      <c r="W314" s="92" t="s">
        <v>34</v>
      </c>
      <c r="X314" s="92" t="s">
        <v>33</v>
      </c>
      <c r="Y314" s="92" t="s">
        <v>32</v>
      </c>
      <c r="Z314" s="92" t="s">
        <v>31</v>
      </c>
      <c r="AA314" s="91" t="s">
        <v>30</v>
      </c>
      <c r="AC314" s="90" t="s">
        <v>35</v>
      </c>
      <c r="AD314" s="89" t="s">
        <v>34</v>
      </c>
      <c r="AE314" s="89" t="s">
        <v>33</v>
      </c>
      <c r="AF314" s="89" t="s">
        <v>32</v>
      </c>
      <c r="AG314" s="89" t="s">
        <v>31</v>
      </c>
      <c r="AH314" s="88" t="s">
        <v>30</v>
      </c>
    </row>
    <row r="315" spans="1:34" x14ac:dyDescent="0.25">
      <c r="A315" s="104">
        <v>1</v>
      </c>
      <c r="B315" s="102">
        <v>0</v>
      </c>
      <c r="C315" s="102">
        <f>IF(AND(C323&gt;B309,C323&lt;C309),C323,IF(C323&gt;=C309,C309,0))</f>
        <v>50</v>
      </c>
      <c r="D315" s="85">
        <f>MIN(D309,F309)</f>
        <v>20</v>
      </c>
      <c r="E315" s="85">
        <f>IF(AND(C323&gt;B309,C323&lt;C309),G309,IF(C323&gt;=C309,D309,0))</f>
        <v>20</v>
      </c>
      <c r="F315" s="84">
        <f>(C315-B315)*(D315+E315)/2</f>
        <v>1000</v>
      </c>
      <c r="G315" s="51"/>
      <c r="H315" s="104">
        <v>1</v>
      </c>
      <c r="I315" s="102">
        <v>0</v>
      </c>
      <c r="J315" s="102">
        <f>IF(AND(C332&gt;B309,C332&lt;C309),C332,IF(C332&gt;=C309,C309,0))</f>
        <v>50</v>
      </c>
      <c r="K315" s="85">
        <f>MIN(D309,I309)</f>
        <v>20</v>
      </c>
      <c r="L315" s="85">
        <f>IF(AND(C332&gt;B309,C332&lt;C309),J309,IF(C332&gt;=C309,D309,0))</f>
        <v>20</v>
      </c>
      <c r="M315" s="84">
        <f>(J315-I315)*(K315+L315)/2</f>
        <v>1000</v>
      </c>
      <c r="O315" s="87">
        <v>1</v>
      </c>
      <c r="P315" s="86">
        <v>0</v>
      </c>
      <c r="Q315" s="86">
        <f>IF(AND(C334&gt;B309,C334&lt;C309),C334,IF(C334&gt;=C309,C309,0))</f>
        <v>50</v>
      </c>
      <c r="R315" s="85">
        <f>MIN(D309,L309)</f>
        <v>20</v>
      </c>
      <c r="S315" s="85">
        <f>IF(AND(C334&gt;B309,C334&lt;C309),M309,IF(C334&gt;=C309,D309,0))</f>
        <v>20</v>
      </c>
      <c r="T315" s="84">
        <f>(Q315-P315)*(R315+S315)/2</f>
        <v>1000</v>
      </c>
      <c r="V315" s="87">
        <v>1</v>
      </c>
      <c r="W315" s="86">
        <v>0</v>
      </c>
      <c r="X315" s="86">
        <f>IF(R309&gt;0,MIN(Q309,C309),0)</f>
        <v>0</v>
      </c>
      <c r="Y315" s="85">
        <f>IF(W315&lt;&gt;0,MIN(D309,S309),0)</f>
        <v>0</v>
      </c>
      <c r="Z315" s="85">
        <f>IF(AND(X315&gt;B309,X315&lt;C309),T309,IF(X315&gt;=C309,D309,0))</f>
        <v>0</v>
      </c>
      <c r="AA315" s="84">
        <f>(X315-W315)*(Y315+Z315)/2</f>
        <v>0</v>
      </c>
      <c r="AC315" s="83">
        <v>1</v>
      </c>
      <c r="AD315" s="86">
        <v>0</v>
      </c>
      <c r="AE315" s="86">
        <f>IF(V309&gt;0,MIN(U309,C309),0)</f>
        <v>0</v>
      </c>
      <c r="AF315" s="1">
        <f>IF(AD315&lt;&gt;0,MIN(D309,W309),0)</f>
        <v>0</v>
      </c>
      <c r="AG315" s="1">
        <f>IF(AND(AE315&gt;B309,AE315&lt;C309),X309,IF(AE315&gt;=C309,D309,0))</f>
        <v>0</v>
      </c>
      <c r="AH315" s="81">
        <f>(AE315-AD315)*(AF315+AG315)/2</f>
        <v>0</v>
      </c>
    </row>
    <row r="316" spans="1:34" x14ac:dyDescent="0.25">
      <c r="A316" s="30">
        <v>2</v>
      </c>
      <c r="B316" s="29">
        <f>IF(C323&gt;B310,C315,0)</f>
        <v>0</v>
      </c>
      <c r="C316" s="29">
        <f>IF(AND(C323&gt;B310,C323&lt;C310),C323,IF(C323&gt;=C310,C310,0))</f>
        <v>0</v>
      </c>
      <c r="D316" s="1">
        <f>IF(B316&lt;&gt;0,E315,0)</f>
        <v>0</v>
      </c>
      <c r="E316" s="1">
        <f>IF(AND(C323&gt;B310,C323&lt;C310),G310,IF(C323&gt;=C310,D310,0))</f>
        <v>0</v>
      </c>
      <c r="F316" s="81">
        <f>(C316-B316)*(D316+E316)/2</f>
        <v>0</v>
      </c>
      <c r="G316" s="27"/>
      <c r="H316" s="30">
        <v>2</v>
      </c>
      <c r="I316" s="29">
        <f>IF(C332&gt;B310,J315,0)</f>
        <v>50</v>
      </c>
      <c r="J316" s="29">
        <f>IF(AND(C332&gt;B310,C332&lt;C310),C332,IF(C332&gt;=C310,C310,0))</f>
        <v>70</v>
      </c>
      <c r="K316" s="1">
        <f>IF(I316&lt;&gt;0,L315,0)</f>
        <v>20</v>
      </c>
      <c r="L316" s="1">
        <f>IF(AND(C332&gt;B310,C332&lt;C310),J310,IF(C332&gt;=C310,D310,0))</f>
        <v>24</v>
      </c>
      <c r="M316" s="81">
        <f>(J316-I316)*(K316+L316)/2</f>
        <v>440</v>
      </c>
      <c r="O316" s="83">
        <v>2</v>
      </c>
      <c r="P316" s="82">
        <f>IF(C334&gt;B310,Q315,0)</f>
        <v>50</v>
      </c>
      <c r="Q316" s="82">
        <f>IF(AND(C334&gt;B310,C334&lt;C310),C334,IF(C334&gt;=C310,C310,0))</f>
        <v>70</v>
      </c>
      <c r="R316" s="1">
        <f>IF(P316&lt;&gt;0,S315,0)</f>
        <v>20</v>
      </c>
      <c r="S316" s="1">
        <f>IF(AND(C334&gt;B310,C334&lt;C310),M310,IF(C334&gt;=C310,D310,0))</f>
        <v>24</v>
      </c>
      <c r="T316" s="81">
        <f>(Q316-P316)*(R316+S316)/2</f>
        <v>440</v>
      </c>
      <c r="V316" s="83">
        <v>2</v>
      </c>
      <c r="W316" s="82">
        <f>IF(OR(X315&gt;0,R310&gt;0),B310,MIN(C310,Q310))</f>
        <v>50</v>
      </c>
      <c r="X316" s="82">
        <f>IF(AND(W316&gt;0,MAX(R309:R311)&lt;C310),MAX(R309:R311),IF(AND(MAX(R309:R311)&gt;=C310,W316&gt;0),C310,0))</f>
        <v>70</v>
      </c>
      <c r="Y316" s="1">
        <f>IF(W316=MAX(Q309:Q311),MAX(S309:S311),0)</f>
        <v>20</v>
      </c>
      <c r="Z316" s="1">
        <f>IF(AND(X316&gt;B310,X316&lt;C310),T310,IF(X316&gt;=C310,D310,0))</f>
        <v>24</v>
      </c>
      <c r="AA316" s="81">
        <f>(X316-W316)*(Y316+Z316)/2</f>
        <v>440</v>
      </c>
      <c r="AC316" s="83">
        <v>2</v>
      </c>
      <c r="AD316" s="82">
        <f>IF(OR(AE315&gt;0,V310&gt;0),B310,MIN(C310,U310))</f>
        <v>50</v>
      </c>
      <c r="AE316" s="82">
        <f>IF(AND(AD316&gt;0,MAX(V309:V311)&lt;C310),MAX(V309:V311),IF(AND(MAX(V309:V311)&gt;=C310,AD316&gt;0),C310,0))</f>
        <v>70</v>
      </c>
      <c r="AF316" s="1">
        <f>IF(AD316=MAX(U309:U311),MAX(W309:W311),0)</f>
        <v>20</v>
      </c>
      <c r="AG316" s="1">
        <f>IF(AND(AE316&gt;B310,AE316&lt;C310),X310,IF(AE316&gt;=C310,D310,0))</f>
        <v>24</v>
      </c>
      <c r="AH316" s="81">
        <f>(AE316-AD316)*(AF316+AG316)/2</f>
        <v>440</v>
      </c>
    </row>
    <row r="317" spans="1:34" x14ac:dyDescent="0.25">
      <c r="A317" s="30">
        <v>3</v>
      </c>
      <c r="B317" s="29">
        <f>IF(C323&gt;B311,C316,0)</f>
        <v>0</v>
      </c>
      <c r="C317" s="29">
        <f>IF(AND(C323&gt;B311,C323&lt;C311),C323,IF(C323&gt;=C311,C311,0))</f>
        <v>0</v>
      </c>
      <c r="D317" s="1">
        <f>IF(B317&lt;&gt;0,E316,0)</f>
        <v>0</v>
      </c>
      <c r="E317" s="1">
        <f>IF(AND(C323&gt;B311,C323&lt;C311),G311,IF(C323&gt;=C311,D311,0))</f>
        <v>0</v>
      </c>
      <c r="F317" s="81">
        <f>(C317-B317)*(D317+E317)/2</f>
        <v>0</v>
      </c>
      <c r="G317" s="27"/>
      <c r="H317" s="30">
        <v>3</v>
      </c>
      <c r="I317" s="29">
        <f>IF(C332&gt;B311,J316,0)</f>
        <v>0</v>
      </c>
      <c r="J317" s="29">
        <f>IF(AND(C332&gt;B311,C332&lt;C311),C332,IF(C332&gt;=C311,C311,0))</f>
        <v>0</v>
      </c>
      <c r="K317" s="1">
        <f>IF(I317&lt;&gt;0,L316,0)</f>
        <v>0</v>
      </c>
      <c r="L317" s="1">
        <f>IF(AND(C332&gt;B311,C332&lt;C311),J311,IF(C332&gt;=C311,D311,0))</f>
        <v>0</v>
      </c>
      <c r="M317" s="81">
        <f>(J317-I317)*(K317+L317)/2</f>
        <v>0</v>
      </c>
      <c r="O317" s="83">
        <v>3</v>
      </c>
      <c r="P317" s="82">
        <f>IF(C334&gt;B311,Q316,0)</f>
        <v>0</v>
      </c>
      <c r="Q317" s="82">
        <f>IF(AND(C334&gt;B311,C334&lt;C311),C334,IF(C334&gt;=C311,C311,0))</f>
        <v>0</v>
      </c>
      <c r="R317" s="1">
        <f>IF(P317&lt;&gt;0,S316,0)</f>
        <v>0</v>
      </c>
      <c r="S317" s="1">
        <f>IF(AND(C334&gt;B311,C334&lt;C311),M311,IF(C334&gt;=C311,D311,0))</f>
        <v>0</v>
      </c>
      <c r="T317" s="81">
        <f>(Q317-P317)*(R317+S317)/2</f>
        <v>0</v>
      </c>
      <c r="V317" s="83">
        <v>3</v>
      </c>
      <c r="W317" s="82">
        <f>IF(AND(X316&gt;0,MAX(R309:R311)&gt;C310),B311,IF(AND(MAX(Q309:Q311)&gt;B311,MAX(Q309:Q311)&lt;C311),MAX(Q309:Q311),MIN(C311,Q310)))</f>
        <v>0</v>
      </c>
      <c r="X317" s="82">
        <f>IF(AND(MAX(R309:R311)&gt;B311,MAX(R309:R311)&lt;C311),MAX(R309:R311),IF(MAX(R309:R311)&gt;=C311,C311,0))</f>
        <v>0</v>
      </c>
      <c r="Y317" s="1">
        <f>IF(AND(W317&lt;&gt;0,X316&lt;&gt;0),Z316,IF(MAX(Q309:Q311)=W317,MAX(S309:S311),0))</f>
        <v>0</v>
      </c>
      <c r="Z317" s="1">
        <f>IF(AND(X317&gt;B311,X317&lt;C311),T311,IF(X317&gt;=C311,D311,0))</f>
        <v>0</v>
      </c>
      <c r="AA317" s="81">
        <f>(X317-W317)*(Y317+Z317)/2</f>
        <v>0</v>
      </c>
      <c r="AC317" s="83">
        <v>3</v>
      </c>
      <c r="AD317" s="82">
        <f>IF(AND(AE316&gt;0,MAX(V309:V311)&gt;C310),B311,IF(AND(MAX(U309:U311)&gt;B311,MAX(U309:U311)&lt;C311),MAX(U309:U311),MIN(C311,U310)))</f>
        <v>0</v>
      </c>
      <c r="AE317" s="82">
        <f>IF(AND(MAX(Y309:Y311)&gt;I311,MAX(Y309:Y311)&lt;J311),MAX(Y309:Y311),IF(MAX(Y309:Y311)&gt;=J311,J311,0))</f>
        <v>0</v>
      </c>
      <c r="AF317" s="1">
        <f>IF(AND(AD317&lt;&gt;0,AE316&lt;&gt;0),AG316,IF(MAX(U309:U311)=AD317,MAX(W309:W311),0))</f>
        <v>0</v>
      </c>
      <c r="AG317" s="1">
        <f>IF(AND(AE317&gt;B311,AE317&lt;C311),X311,IF(AE317&gt;=C311,D311,0))</f>
        <v>0</v>
      </c>
      <c r="AH317" s="81">
        <f>(AE317-AD317)*(AF317+AG317)/2</f>
        <v>0</v>
      </c>
    </row>
    <row r="318" spans="1:34" x14ac:dyDescent="0.25">
      <c r="A318" s="30">
        <v>4</v>
      </c>
      <c r="B318" s="29">
        <f>IF(C323&gt;C311,C317,0)</f>
        <v>0</v>
      </c>
      <c r="C318" s="29">
        <f>IF(C323&gt;C311,C323,0)</f>
        <v>0</v>
      </c>
      <c r="D318" s="1">
        <f>IF(B318&lt;&gt;0,E317,0)</f>
        <v>0</v>
      </c>
      <c r="E318" s="1">
        <f>IF(C323&gt;C311,D311,0)</f>
        <v>0</v>
      </c>
      <c r="F318" s="81">
        <f>(C318-B318)*(D318+E318)/2</f>
        <v>0</v>
      </c>
      <c r="G318" s="27"/>
      <c r="H318" s="30">
        <v>4</v>
      </c>
      <c r="I318" s="29">
        <f>IF(C332&gt;C311,J317,0)</f>
        <v>0</v>
      </c>
      <c r="J318" s="29">
        <f>IF(C332&gt;C311,C332,0)</f>
        <v>0</v>
      </c>
      <c r="K318" s="1">
        <f>IF(I318&lt;&gt;0,L317,0)</f>
        <v>0</v>
      </c>
      <c r="L318" s="1">
        <f>IF(J318&gt;0,IF(C332&gt;=C311,J311,IF(AND(C332&gt;B311,C332&lt;C311),J311,0)),0)</f>
        <v>0</v>
      </c>
      <c r="M318" s="81">
        <f>(J318-I318)*(K318+L318)/2</f>
        <v>0</v>
      </c>
      <c r="O318" s="83">
        <v>4</v>
      </c>
      <c r="P318" s="82">
        <f>IF(C334&gt;C311,Q317,0)</f>
        <v>0</v>
      </c>
      <c r="Q318" s="82">
        <f>IF(C334&gt;C311,C334,0)</f>
        <v>0</v>
      </c>
      <c r="R318" s="1">
        <f>IF(P318&lt;&gt;0,S317,0)</f>
        <v>0</v>
      </c>
      <c r="S318" s="1">
        <f>IF(Q318&gt;0,IF(C334&gt;=C311,J311,IF(AND(C334&gt;B311,C334&lt;C311),J311,0)),0)</f>
        <v>0</v>
      </c>
      <c r="T318" s="81">
        <f>(Q318-P318)*(R318+S318)/2</f>
        <v>0</v>
      </c>
      <c r="V318" s="83">
        <v>4</v>
      </c>
      <c r="W318" s="82">
        <f>IF(C335&gt;C311,X317,0)</f>
        <v>0</v>
      </c>
      <c r="X318" s="82">
        <f>IF(R311&gt;C311,R311,IF(AND(R311&gt;C311,R311&lt;C311),R311,0))</f>
        <v>0</v>
      </c>
      <c r="Y318" s="1">
        <f>IF(W318&lt;&gt;0,MIN(D312,T311),0)</f>
        <v>0</v>
      </c>
      <c r="Z318" s="1">
        <f>IF(X318&gt;0,IF(X318&gt;=C311,T311,IF(AND(X318&gt;B311,X318&lt;C311),T311,0)),0)</f>
        <v>0</v>
      </c>
      <c r="AA318" s="81">
        <f>(X318-W318)*(Y318+Z318)/2</f>
        <v>0</v>
      </c>
      <c r="AC318" s="83">
        <v>4</v>
      </c>
      <c r="AD318" s="82">
        <f>IF(J335&gt;C311,AE317,0)</f>
        <v>0</v>
      </c>
      <c r="AE318" s="82">
        <f>IF(Y311&gt;J311,Y311,IF(AND(Y311&gt;J311,Y311&lt;J311),Y311,0))</f>
        <v>0</v>
      </c>
      <c r="AF318" s="1">
        <f>IF(AD318&lt;&gt;0,MIN(D312,X311),0)</f>
        <v>0</v>
      </c>
      <c r="AG318" s="1">
        <f>IF(AE318&gt;0,IF(AE318&gt;=C311,X311,IF(AND(AE318&gt;B311,AE318&lt;C311),X311,0)),0)</f>
        <v>0</v>
      </c>
      <c r="AH318" s="81">
        <f>(AE318-AD318)*(AF318+AG318)/2</f>
        <v>0</v>
      </c>
    </row>
    <row r="319" spans="1:34" ht="15.75" thickBot="1" x14ac:dyDescent="0.3">
      <c r="A319" s="99"/>
      <c r="B319" s="98"/>
      <c r="C319" s="98"/>
      <c r="D319" s="196"/>
      <c r="E319" s="196"/>
      <c r="F319" s="78">
        <f>SUM(F315:F318)</f>
        <v>1000</v>
      </c>
      <c r="G319" s="197"/>
      <c r="H319" s="99"/>
      <c r="I319" s="98"/>
      <c r="J319" s="98"/>
      <c r="K319" s="196"/>
      <c r="L319" s="196"/>
      <c r="M319" s="78">
        <f>SUM(M315:M318)</f>
        <v>1440</v>
      </c>
      <c r="O319" s="80"/>
      <c r="P319" s="79"/>
      <c r="Q319" s="79"/>
      <c r="R319" s="79"/>
      <c r="S319" s="79"/>
      <c r="T319" s="78">
        <f>SUM(T315:T318)</f>
        <v>1440</v>
      </c>
      <c r="V319" s="80"/>
      <c r="W319" s="79"/>
      <c r="X319" s="79"/>
      <c r="Y319" s="79"/>
      <c r="Z319" s="79"/>
      <c r="AA319" s="78">
        <f>SUM(AA315:AA318)</f>
        <v>440</v>
      </c>
      <c r="AC319" s="80"/>
      <c r="AD319" s="79"/>
      <c r="AE319" s="79"/>
      <c r="AF319" s="79"/>
      <c r="AG319" s="79"/>
      <c r="AH319" s="78">
        <f>SUM(AH315:AH318)</f>
        <v>440</v>
      </c>
    </row>
    <row r="320" spans="1:34" ht="15.75" thickBot="1" x14ac:dyDescent="0.3"/>
    <row r="321" spans="1:33" ht="15.75" thickBot="1" x14ac:dyDescent="0.3">
      <c r="A321" s="77" t="s">
        <v>29</v>
      </c>
      <c r="B321" s="55"/>
      <c r="C321" s="55"/>
      <c r="D321" s="55"/>
      <c r="E321" s="12"/>
      <c r="F321" s="156" t="s">
        <v>79</v>
      </c>
      <c r="G321" s="155"/>
      <c r="H321" s="155"/>
      <c r="I321" s="155"/>
      <c r="J321" s="156"/>
      <c r="K321" s="195"/>
      <c r="L321" s="194"/>
      <c r="M321" s="41" t="s">
        <v>91</v>
      </c>
      <c r="N321" s="40"/>
      <c r="O321" s="40"/>
      <c r="P321" s="40"/>
      <c r="Q321" s="41"/>
      <c r="R321" s="44"/>
      <c r="S321" s="72"/>
      <c r="T321" s="41" t="s">
        <v>78</v>
      </c>
      <c r="U321" s="40"/>
      <c r="V321" s="40"/>
      <c r="W321" s="40"/>
      <c r="X321" s="41"/>
      <c r="Y321" s="44"/>
      <c r="AA321" s="41" t="s">
        <v>77</v>
      </c>
      <c r="AB321" s="40"/>
      <c r="AC321" s="40"/>
      <c r="AD321" s="40"/>
      <c r="AE321" s="193"/>
    </row>
    <row r="322" spans="1:33" ht="15.75" thickBot="1" x14ac:dyDescent="0.3">
      <c r="A322" s="70" t="s">
        <v>76</v>
      </c>
      <c r="B322" s="192"/>
      <c r="C322" s="191"/>
      <c r="D322" s="191"/>
      <c r="E322" s="67"/>
      <c r="F322" s="156" t="s">
        <v>12</v>
      </c>
      <c r="G322" s="155"/>
      <c r="H322" s="155"/>
      <c r="I322" s="156"/>
      <c r="J322" s="190" t="s">
        <v>11</v>
      </c>
      <c r="K322" s="154"/>
      <c r="L322" s="147"/>
      <c r="M322" s="41" t="s">
        <v>12</v>
      </c>
      <c r="N322" s="40"/>
      <c r="O322" s="40"/>
      <c r="P322" s="41"/>
      <c r="Q322" s="40" t="s">
        <v>11</v>
      </c>
      <c r="R322" s="39"/>
      <c r="S322" s="5"/>
      <c r="T322" s="41" t="s">
        <v>12</v>
      </c>
      <c r="U322" s="40"/>
      <c r="V322" s="40"/>
      <c r="W322" s="41"/>
      <c r="X322" s="40" t="s">
        <v>11</v>
      </c>
      <c r="Y322" s="39"/>
      <c r="AA322" s="41" t="s">
        <v>12</v>
      </c>
      <c r="AB322" s="40"/>
      <c r="AC322" s="40"/>
      <c r="AD322" s="41"/>
      <c r="AE322" s="39" t="s">
        <v>11</v>
      </c>
    </row>
    <row r="323" spans="1:33" x14ac:dyDescent="0.25">
      <c r="A323" s="189" t="s">
        <v>75</v>
      </c>
      <c r="B323" s="188"/>
      <c r="C323" s="187">
        <v>50</v>
      </c>
      <c r="D323" s="186"/>
      <c r="E323">
        <v>0</v>
      </c>
      <c r="F323" s="185" t="s">
        <v>56</v>
      </c>
      <c r="G323" s="184"/>
      <c r="H323" s="184"/>
      <c r="I323" s="184"/>
      <c r="J323" s="85">
        <f>C323*C324</f>
        <v>900</v>
      </c>
      <c r="K323" s="183"/>
      <c r="L323" s="6"/>
      <c r="M323" s="151"/>
      <c r="N323" s="150"/>
      <c r="O323" s="150"/>
      <c r="P323" s="150"/>
      <c r="Q323" s="149"/>
      <c r="R323" s="148"/>
      <c r="S323" s="6"/>
      <c r="T323" s="151"/>
      <c r="U323" s="150"/>
      <c r="V323" s="150"/>
      <c r="W323" s="150"/>
      <c r="X323" s="149"/>
      <c r="Y323" s="148"/>
      <c r="AA323" s="151"/>
      <c r="AB323" s="150"/>
      <c r="AC323" s="150"/>
      <c r="AD323" s="150"/>
      <c r="AE323" s="182"/>
    </row>
    <row r="324" spans="1:33" x14ac:dyDescent="0.25">
      <c r="A324" s="181" t="s">
        <v>26</v>
      </c>
      <c r="B324" s="180"/>
      <c r="C324" s="179">
        <v>18</v>
      </c>
      <c r="D324" s="178"/>
      <c r="F324" s="47" t="str">
        <f>" "</f>
        <v xml:space="preserve"> </v>
      </c>
      <c r="G324" s="63"/>
      <c r="H324" s="63"/>
      <c r="I324" s="63"/>
      <c r="J324" s="1"/>
      <c r="K324" s="167"/>
      <c r="L324" s="6"/>
      <c r="M324" s="36" t="s">
        <v>74</v>
      </c>
      <c r="N324" s="19"/>
      <c r="O324" s="19"/>
      <c r="P324" s="19"/>
      <c r="Q324" s="18">
        <f>C342*C343*C350</f>
        <v>126</v>
      </c>
      <c r="R324" s="17"/>
      <c r="S324" s="3"/>
      <c r="T324" s="36" t="s">
        <v>74</v>
      </c>
      <c r="U324" s="19"/>
      <c r="V324" s="19"/>
      <c r="W324" s="19"/>
      <c r="X324" s="18">
        <f>C342*C343*C347</f>
        <v>119</v>
      </c>
      <c r="Y324" s="17"/>
      <c r="AA324" s="135" t="s">
        <v>73</v>
      </c>
      <c r="AB324" s="19"/>
      <c r="AC324" s="19"/>
      <c r="AD324" s="19"/>
      <c r="AE324" s="166">
        <f>J323</f>
        <v>900</v>
      </c>
    </row>
    <row r="325" spans="1:33" x14ac:dyDescent="0.25">
      <c r="A325" s="181" t="s">
        <v>23</v>
      </c>
      <c r="B325" s="180"/>
      <c r="C325" s="179">
        <v>0</v>
      </c>
      <c r="D325" s="178"/>
      <c r="F325" s="130" t="str">
        <f>"DA Incremental Cost @ "&amp;C323&amp;" MW"</f>
        <v>DA Incremental Cost @ 50 MW</v>
      </c>
      <c r="G325" s="129"/>
      <c r="H325" s="129"/>
      <c r="I325" s="129"/>
      <c r="J325" s="1">
        <f>F319</f>
        <v>1000</v>
      </c>
      <c r="K325" s="167"/>
      <c r="L325" s="6"/>
      <c r="M325" s="36"/>
      <c r="N325" s="35"/>
      <c r="O325" s="35"/>
      <c r="P325" s="35"/>
      <c r="Q325" s="18"/>
      <c r="R325" s="17"/>
      <c r="S325" s="6"/>
      <c r="T325" s="36"/>
      <c r="U325" s="35"/>
      <c r="V325" s="35"/>
      <c r="W325" s="35"/>
      <c r="X325" s="18"/>
      <c r="Y325" s="17"/>
      <c r="AA325" s="36"/>
      <c r="AB325" s="35"/>
      <c r="AC325" s="35"/>
      <c r="AD325" s="35"/>
      <c r="AE325" s="166"/>
    </row>
    <row r="326" spans="1:33" x14ac:dyDescent="0.25">
      <c r="A326" s="181" t="s">
        <v>22</v>
      </c>
      <c r="B326" s="180"/>
      <c r="C326" s="179">
        <v>0</v>
      </c>
      <c r="D326" s="178"/>
      <c r="E326" s="54"/>
      <c r="F326" s="130" t="s">
        <v>72</v>
      </c>
      <c r="G326" s="129"/>
      <c r="H326" s="129"/>
      <c r="I326" s="129"/>
      <c r="J326" s="1">
        <f>C326</f>
        <v>0</v>
      </c>
      <c r="K326" s="167"/>
      <c r="L326" s="6"/>
      <c r="M326" s="135" t="s">
        <v>51</v>
      </c>
      <c r="N326" s="19"/>
      <c r="O326" s="19"/>
      <c r="P326" s="19"/>
      <c r="Q326" s="18"/>
      <c r="R326" s="17"/>
      <c r="S326" s="6"/>
      <c r="T326" s="135" t="s">
        <v>51</v>
      </c>
      <c r="U326" s="19"/>
      <c r="V326" s="19"/>
      <c r="W326" s="19"/>
      <c r="X326" s="18"/>
      <c r="Y326" s="17"/>
      <c r="AA326" s="135" t="s">
        <v>71</v>
      </c>
      <c r="AB326" s="19"/>
      <c r="AC326" s="19"/>
      <c r="AD326" s="19"/>
      <c r="AE326" s="166">
        <f>Q341</f>
        <v>300</v>
      </c>
    </row>
    <row r="327" spans="1:33" x14ac:dyDescent="0.25">
      <c r="A327" s="177" t="s">
        <v>70</v>
      </c>
      <c r="B327" s="176"/>
      <c r="C327" s="175">
        <v>50</v>
      </c>
      <c r="D327" s="174"/>
      <c r="F327" s="130" t="s">
        <v>69</v>
      </c>
      <c r="G327" s="129"/>
      <c r="H327" s="129"/>
      <c r="I327" s="129"/>
      <c r="J327" s="1">
        <f>C325</f>
        <v>0</v>
      </c>
      <c r="K327" s="167"/>
      <c r="L327" s="6"/>
      <c r="M327" s="36" t="s">
        <v>68</v>
      </c>
      <c r="N327" s="35"/>
      <c r="O327" s="35"/>
      <c r="P327" s="35"/>
      <c r="Q327" s="18">
        <f>ABS(AA319-(MAX(R309:R311)-MAX(Q309:Q311))*C333)/C350*C350</f>
        <v>140</v>
      </c>
      <c r="R327" s="17"/>
      <c r="S327" s="3"/>
      <c r="T327" s="36" t="s">
        <v>68</v>
      </c>
      <c r="U327" s="35"/>
      <c r="V327" s="35"/>
      <c r="W327" s="35"/>
      <c r="X327" s="18">
        <f>ABS(AH319-(MAX(V309:V311)-MAX(U309:U311))*C333)/C350*C347</f>
        <v>132.2222222222222</v>
      </c>
      <c r="Y327" s="17"/>
      <c r="AA327" s="36"/>
      <c r="AB327" s="35"/>
      <c r="AC327" s="35"/>
      <c r="AD327" s="35"/>
      <c r="AE327" s="166"/>
    </row>
    <row r="328" spans="1:33" ht="15.75" thickBot="1" x14ac:dyDescent="0.3">
      <c r="A328" s="173" t="s">
        <v>67</v>
      </c>
      <c r="B328" s="172"/>
      <c r="C328" s="171">
        <v>100</v>
      </c>
      <c r="D328" s="170"/>
      <c r="F328" s="47" t="str">
        <f>" "</f>
        <v xml:space="preserve"> </v>
      </c>
      <c r="G328" s="63"/>
      <c r="H328" s="63"/>
      <c r="I328" s="63"/>
      <c r="J328" s="1"/>
      <c r="K328" s="167"/>
      <c r="L328" s="6"/>
      <c r="M328" s="20"/>
      <c r="N328" s="19"/>
      <c r="O328" s="19"/>
      <c r="P328" s="19"/>
      <c r="Q328" s="18"/>
      <c r="R328" s="17"/>
      <c r="S328" s="6"/>
      <c r="T328" s="20"/>
      <c r="U328" s="19"/>
      <c r="V328" s="19"/>
      <c r="W328" s="19"/>
      <c r="X328" s="18"/>
      <c r="Y328" s="17"/>
      <c r="AA328" s="20" t="s">
        <v>66</v>
      </c>
      <c r="AB328" s="19"/>
      <c r="AC328" s="19"/>
      <c r="AD328" s="19"/>
      <c r="AE328" s="169">
        <f>X331</f>
        <v>132.2222222222222</v>
      </c>
    </row>
    <row r="329" spans="1:33" x14ac:dyDescent="0.25">
      <c r="C329" s="54"/>
      <c r="D329" s="54"/>
      <c r="F329" s="130" t="s">
        <v>65</v>
      </c>
      <c r="G329" s="129"/>
      <c r="H329" s="129"/>
      <c r="I329" s="129"/>
      <c r="J329" s="133">
        <f>J323-J325-J326-J327</f>
        <v>-100</v>
      </c>
      <c r="K329" s="168"/>
      <c r="L329" s="48"/>
      <c r="M329" s="36" t="s">
        <v>64</v>
      </c>
      <c r="N329" s="35"/>
      <c r="O329" s="35"/>
      <c r="P329" s="35"/>
      <c r="Q329" s="18">
        <f>MAX(Q326+Q327-Q324,0)</f>
        <v>14</v>
      </c>
      <c r="R329" s="17"/>
      <c r="S329" s="3"/>
      <c r="T329" s="36" t="s">
        <v>64</v>
      </c>
      <c r="U329" s="35"/>
      <c r="V329" s="35"/>
      <c r="W329" s="35"/>
      <c r="X329" s="18">
        <f>MAX(X326+X327-X324,0)</f>
        <v>13.2222222222222</v>
      </c>
      <c r="Y329" s="17"/>
      <c r="AA329" s="36"/>
      <c r="AB329" s="35"/>
      <c r="AC329" s="35"/>
      <c r="AD329" s="35"/>
      <c r="AE329" s="166"/>
    </row>
    <row r="330" spans="1:33" ht="15.75" thickBot="1" x14ac:dyDescent="0.3">
      <c r="A330" s="77" t="s">
        <v>29</v>
      </c>
      <c r="B330" s="55"/>
      <c r="C330" s="55"/>
      <c r="D330" s="55"/>
      <c r="E330" s="55"/>
      <c r="F330" s="47" t="str">
        <f>" "</f>
        <v xml:space="preserve"> </v>
      </c>
      <c r="G330" s="63"/>
      <c r="H330" s="63"/>
      <c r="I330" s="63"/>
      <c r="J330" s="1"/>
      <c r="K330" s="167"/>
      <c r="L330" s="6"/>
      <c r="M330" s="20"/>
      <c r="N330" s="19"/>
      <c r="O330" s="19"/>
      <c r="P330" s="19"/>
      <c r="Q330" s="18"/>
      <c r="R330" s="17"/>
      <c r="S330" s="6"/>
      <c r="T330" s="20"/>
      <c r="U330" s="19"/>
      <c r="V330" s="19"/>
      <c r="W330" s="19"/>
      <c r="X330" s="18"/>
      <c r="Y330" s="17"/>
      <c r="AA330" s="20"/>
      <c r="AB330" s="19"/>
      <c r="AC330" s="19"/>
      <c r="AD330" s="19"/>
      <c r="AE330" s="166"/>
    </row>
    <row r="331" spans="1:33" ht="15.75" thickBot="1" x14ac:dyDescent="0.3">
      <c r="A331" s="70" t="s">
        <v>28</v>
      </c>
      <c r="B331" s="69"/>
      <c r="C331" s="68"/>
      <c r="D331" s="68"/>
      <c r="E331" s="54"/>
      <c r="F331" s="130" t="s">
        <v>54</v>
      </c>
      <c r="G331" s="129"/>
      <c r="H331" s="129"/>
      <c r="I331" s="129"/>
      <c r="J331" s="126">
        <f>MAX(J329*-1,0)</f>
        <v>100</v>
      </c>
      <c r="K331" s="165"/>
      <c r="L331" s="48"/>
      <c r="M331" s="36" t="s">
        <v>63</v>
      </c>
      <c r="N331" s="35"/>
      <c r="O331" s="35"/>
      <c r="P331" s="35"/>
      <c r="Q331" s="164">
        <f>Q324+Q329</f>
        <v>140</v>
      </c>
      <c r="R331" s="163"/>
      <c r="S331" s="3"/>
      <c r="T331" s="36" t="s">
        <v>63</v>
      </c>
      <c r="U331" s="35"/>
      <c r="V331" s="35"/>
      <c r="W331" s="35"/>
      <c r="X331" s="164">
        <f>X324+X329</f>
        <v>132.2222222222222</v>
      </c>
      <c r="Y331" s="163"/>
      <c r="AA331" s="36" t="s">
        <v>55</v>
      </c>
      <c r="AB331" s="35"/>
      <c r="AC331" s="35"/>
      <c r="AD331" s="35"/>
      <c r="AE331" s="162">
        <f>AE324+AE326+AE328-AE330</f>
        <v>1332.2222222222222</v>
      </c>
    </row>
    <row r="332" spans="1:33" ht="16.5" thickTop="1" thickBot="1" x14ac:dyDescent="0.3">
      <c r="A332" s="47" t="s">
        <v>27</v>
      </c>
      <c r="B332" s="28"/>
      <c r="C332" s="60">
        <v>70</v>
      </c>
      <c r="D332" s="27"/>
      <c r="F332" s="59" t="str">
        <f>" "</f>
        <v xml:space="preserve"> </v>
      </c>
      <c r="G332" s="108"/>
      <c r="H332" s="108"/>
      <c r="I332" s="108"/>
      <c r="J332" s="23"/>
      <c r="K332" s="161"/>
      <c r="L332" s="6"/>
      <c r="M332" s="10" t="str">
        <f>" "</f>
        <v xml:space="preserve"> </v>
      </c>
      <c r="N332" s="9"/>
      <c r="O332" s="9"/>
      <c r="P332" s="9"/>
      <c r="Q332" s="8">
        <f>MAX(Q324-Q327,0)</f>
        <v>0</v>
      </c>
      <c r="R332" s="7"/>
      <c r="S332" s="6"/>
      <c r="T332" s="10" t="str">
        <f>" "</f>
        <v xml:space="preserve"> </v>
      </c>
      <c r="U332" s="9"/>
      <c r="V332" s="9"/>
      <c r="W332" s="9"/>
      <c r="X332" s="8">
        <f>MAX(X324-X327,0)</f>
        <v>0</v>
      </c>
      <c r="Y332" s="7"/>
      <c r="AA332" s="10" t="str">
        <f>" "</f>
        <v xml:space="preserve"> </v>
      </c>
      <c r="AB332" s="9"/>
      <c r="AC332" s="9"/>
      <c r="AD332" s="9"/>
      <c r="AE332" s="160"/>
    </row>
    <row r="333" spans="1:33" x14ac:dyDescent="0.25">
      <c r="A333" s="30" t="s">
        <v>26</v>
      </c>
      <c r="B333" s="66"/>
      <c r="C333" s="1">
        <v>15</v>
      </c>
      <c r="D333" s="61"/>
      <c r="F333" s="50"/>
      <c r="G333" s="49"/>
      <c r="H333" s="49"/>
      <c r="I333" s="49"/>
      <c r="J333" s="48"/>
      <c r="K333" s="6"/>
      <c r="L333" s="6"/>
      <c r="M333" s="6"/>
      <c r="N333" s="6"/>
      <c r="O333" s="6"/>
      <c r="P333" s="6"/>
      <c r="Q333" s="48"/>
      <c r="R333" s="6"/>
      <c r="S333" s="6"/>
      <c r="T333" s="6"/>
      <c r="U333" s="6"/>
    </row>
    <row r="334" spans="1:33" ht="15.75" thickBot="1" x14ac:dyDescent="0.3">
      <c r="A334" s="63" t="s">
        <v>25</v>
      </c>
      <c r="B334" s="28"/>
      <c r="C334" s="60">
        <v>70</v>
      </c>
      <c r="D334" s="27"/>
      <c r="F334" s="159" t="s">
        <v>62</v>
      </c>
      <c r="G334" s="159"/>
      <c r="H334" s="159"/>
      <c r="I334" s="159"/>
      <c r="J334" s="159"/>
      <c r="K334" s="159"/>
      <c r="L334" s="158"/>
      <c r="M334" s="45" t="s">
        <v>61</v>
      </c>
      <c r="N334" s="45"/>
      <c r="O334" s="45"/>
      <c r="P334" s="45"/>
      <c r="Q334" s="55"/>
      <c r="R334" s="55"/>
      <c r="T334" s="233" t="s">
        <v>60</v>
      </c>
      <c r="U334" s="233"/>
      <c r="V334" s="233"/>
      <c r="W334" s="233"/>
      <c r="X334" s="234"/>
      <c r="Y334" s="234"/>
      <c r="AA334" s="29"/>
      <c r="AB334" s="45"/>
      <c r="AC334" s="45"/>
    </row>
    <row r="335" spans="1:33" ht="15.75" thickBot="1" x14ac:dyDescent="0.3">
      <c r="A335" s="63" t="s">
        <v>108</v>
      </c>
      <c r="B335" s="28"/>
      <c r="C335" s="60">
        <v>50</v>
      </c>
      <c r="D335" s="27"/>
      <c r="F335" s="156" t="s">
        <v>59</v>
      </c>
      <c r="G335" s="155"/>
      <c r="H335" s="155"/>
      <c r="I335" s="155"/>
      <c r="J335" s="157"/>
      <c r="K335" s="157"/>
      <c r="L335" s="5"/>
      <c r="M335" s="156" t="s">
        <v>58</v>
      </c>
      <c r="N335" s="155"/>
      <c r="O335" s="155"/>
      <c r="P335" s="155"/>
      <c r="Q335" s="157"/>
      <c r="R335" s="157"/>
      <c r="T335" s="235" t="s">
        <v>113</v>
      </c>
      <c r="U335" s="236"/>
      <c r="V335" s="236"/>
      <c r="W335" s="236"/>
      <c r="X335" s="237"/>
      <c r="Y335" s="237"/>
      <c r="AA335" s="63"/>
      <c r="AB335" s="41" t="s">
        <v>57</v>
      </c>
      <c r="AC335" s="40"/>
      <c r="AD335" s="40"/>
      <c r="AE335" s="40"/>
      <c r="AF335" s="41"/>
      <c r="AG335" s="44"/>
    </row>
    <row r="336" spans="1:33" ht="15.75" thickBot="1" x14ac:dyDescent="0.3">
      <c r="A336" s="30" t="s">
        <v>23</v>
      </c>
      <c r="B336" s="29"/>
      <c r="C336" s="1">
        <v>0</v>
      </c>
      <c r="D336" s="61"/>
      <c r="F336" s="59" t="s">
        <v>12</v>
      </c>
      <c r="G336" s="108"/>
      <c r="H336" s="156"/>
      <c r="I336" s="155"/>
      <c r="J336" s="154" t="s">
        <v>11</v>
      </c>
      <c r="K336" s="154"/>
      <c r="L336" s="6"/>
      <c r="M336" s="59" t="s">
        <v>12</v>
      </c>
      <c r="N336" s="108"/>
      <c r="O336" s="156"/>
      <c r="P336" s="155"/>
      <c r="Q336" s="154" t="s">
        <v>11</v>
      </c>
      <c r="R336" s="154"/>
      <c r="T336" s="238" t="s">
        <v>12</v>
      </c>
      <c r="U336" s="239"/>
      <c r="V336" s="235"/>
      <c r="W336" s="236"/>
      <c r="X336" s="237" t="s">
        <v>11</v>
      </c>
      <c r="Y336" s="237"/>
      <c r="AA336" s="63"/>
      <c r="AB336" s="41" t="s">
        <v>12</v>
      </c>
      <c r="AC336" s="40"/>
      <c r="AD336" s="40"/>
      <c r="AE336" s="41"/>
      <c r="AF336" s="40" t="s">
        <v>11</v>
      </c>
      <c r="AG336" s="39"/>
    </row>
    <row r="337" spans="1:33" x14ac:dyDescent="0.25">
      <c r="A337" s="62" t="s">
        <v>22</v>
      </c>
      <c r="B337" s="29"/>
      <c r="C337" s="1">
        <v>0</v>
      </c>
      <c r="D337" s="61"/>
      <c r="F337" s="153" t="s">
        <v>56</v>
      </c>
      <c r="G337" s="52"/>
      <c r="H337" s="52"/>
      <c r="I337" s="52"/>
      <c r="J337" s="85">
        <f>J323</f>
        <v>900</v>
      </c>
      <c r="K337" s="152"/>
      <c r="L337" s="3"/>
      <c r="M337" s="153" t="s">
        <v>56</v>
      </c>
      <c r="N337" s="52"/>
      <c r="O337" s="52"/>
      <c r="P337" s="52"/>
      <c r="Q337" s="85">
        <f>J323</f>
        <v>900</v>
      </c>
      <c r="R337" s="152"/>
      <c r="T337" s="240" t="s">
        <v>56</v>
      </c>
      <c r="U337" s="241"/>
      <c r="V337" s="241"/>
      <c r="W337" s="241"/>
      <c r="X337" s="242">
        <f>J323</f>
        <v>900</v>
      </c>
      <c r="Y337" s="243"/>
      <c r="AA337" s="28"/>
      <c r="AB337" s="151"/>
      <c r="AC337" s="150"/>
      <c r="AD337" s="150"/>
      <c r="AE337" s="150"/>
      <c r="AF337" s="149"/>
      <c r="AG337" s="148"/>
    </row>
    <row r="338" spans="1:33" x14ac:dyDescent="0.25">
      <c r="A338" s="47" t="s">
        <v>21</v>
      </c>
      <c r="B338" s="28"/>
      <c r="C338" s="60">
        <v>50</v>
      </c>
      <c r="D338" s="27"/>
      <c r="F338" s="47" t="str">
        <f>" "</f>
        <v xml:space="preserve"> </v>
      </c>
      <c r="G338" s="63"/>
      <c r="H338" s="63"/>
      <c r="I338" s="63"/>
      <c r="J338" s="1"/>
      <c r="K338" s="131"/>
      <c r="L338" s="6"/>
      <c r="M338" s="47" t="str">
        <f>" "</f>
        <v xml:space="preserve"> </v>
      </c>
      <c r="N338" s="63"/>
      <c r="O338" s="63"/>
      <c r="P338" s="63"/>
      <c r="Q338" s="1"/>
      <c r="R338" s="131"/>
      <c r="T338" s="244" t="str">
        <f>" "</f>
        <v xml:space="preserve"> </v>
      </c>
      <c r="U338" s="245"/>
      <c r="V338" s="245"/>
      <c r="W338" s="245"/>
      <c r="X338" s="246"/>
      <c r="Y338" s="247"/>
      <c r="AA338" s="63"/>
      <c r="AB338" s="20" t="s">
        <v>55</v>
      </c>
      <c r="AC338" s="19"/>
      <c r="AD338" s="19"/>
      <c r="AE338" s="19"/>
      <c r="AF338" s="18">
        <f>AE331</f>
        <v>1332.2222222222222</v>
      </c>
      <c r="AG338" s="17"/>
    </row>
    <row r="339" spans="1:33" ht="15.75" thickBot="1" x14ac:dyDescent="0.3">
      <c r="A339" s="59" t="s">
        <v>20</v>
      </c>
      <c r="B339" s="58"/>
      <c r="C339" s="57">
        <v>100</v>
      </c>
      <c r="D339" s="56"/>
      <c r="F339" s="130" t="s">
        <v>54</v>
      </c>
      <c r="G339" s="129"/>
      <c r="H339" s="129"/>
      <c r="I339" s="129"/>
      <c r="J339" s="1">
        <f>J331</f>
        <v>100</v>
      </c>
      <c r="K339" s="131"/>
      <c r="L339" s="3"/>
      <c r="M339" s="130" t="s">
        <v>54</v>
      </c>
      <c r="N339" s="129"/>
      <c r="O339" s="129"/>
      <c r="P339" s="129"/>
      <c r="Q339" s="1">
        <f>J331</f>
        <v>100</v>
      </c>
      <c r="R339" s="131"/>
      <c r="T339" s="248" t="s">
        <v>54</v>
      </c>
      <c r="U339" s="249"/>
      <c r="V339" s="249"/>
      <c r="W339" s="249"/>
      <c r="X339" s="246">
        <f>J331</f>
        <v>100</v>
      </c>
      <c r="Y339" s="247"/>
      <c r="AA339" s="129"/>
      <c r="AB339" s="36"/>
      <c r="AC339" s="35"/>
      <c r="AD339" s="35"/>
      <c r="AE339" s="35"/>
      <c r="AF339" s="18"/>
      <c r="AG339" s="17"/>
    </row>
    <row r="340" spans="1:33" x14ac:dyDescent="0.25">
      <c r="F340" s="47" t="str">
        <f>" "</f>
        <v xml:space="preserve"> </v>
      </c>
      <c r="G340" s="63"/>
      <c r="H340" s="63"/>
      <c r="I340" s="63"/>
      <c r="J340" s="1"/>
      <c r="K340" s="131"/>
      <c r="L340" s="147"/>
      <c r="M340" s="47" t="str">
        <f>" "</f>
        <v xml:space="preserve"> </v>
      </c>
      <c r="N340" s="63"/>
      <c r="O340" s="63"/>
      <c r="P340" s="63"/>
      <c r="Q340" s="1"/>
      <c r="R340" s="131"/>
      <c r="T340" s="244" t="str">
        <f>" "</f>
        <v xml:space="preserve"> </v>
      </c>
      <c r="U340" s="245"/>
      <c r="V340" s="245"/>
      <c r="W340" s="245"/>
      <c r="X340" s="246"/>
      <c r="Y340" s="247"/>
      <c r="AA340" s="63"/>
      <c r="AB340" s="135" t="str">
        <f>"RT Incremental Cost @ "&amp;C332&amp;" MW"</f>
        <v>RT Incremental Cost @ 70 MW</v>
      </c>
      <c r="AC340" s="19"/>
      <c r="AD340" s="19"/>
      <c r="AE340" s="19"/>
      <c r="AF340" s="18">
        <f>Q346</f>
        <v>1440</v>
      </c>
      <c r="AG340" s="17"/>
    </row>
    <row r="341" spans="1:33" ht="30" x14ac:dyDescent="0.25">
      <c r="A341" t="s">
        <v>19</v>
      </c>
      <c r="F341" s="130" t="s">
        <v>53</v>
      </c>
      <c r="G341" s="129"/>
      <c r="H341" s="129"/>
      <c r="I341" s="129"/>
      <c r="J341" s="1">
        <f>(C334-C323)*C333</f>
        <v>300</v>
      </c>
      <c r="K341" s="131"/>
      <c r="L341" s="4"/>
      <c r="M341" s="130" t="s">
        <v>52</v>
      </c>
      <c r="N341" s="129"/>
      <c r="O341" s="129"/>
      <c r="P341" s="129"/>
      <c r="Q341" s="1">
        <f>(C332-C323)*C333</f>
        <v>300</v>
      </c>
      <c r="R341" s="131"/>
      <c r="T341" s="248" t="s">
        <v>111</v>
      </c>
      <c r="U341" s="249"/>
      <c r="V341" s="249"/>
      <c r="W341" s="249"/>
      <c r="X341" s="246">
        <f>(C335-C323)*C333</f>
        <v>0</v>
      </c>
      <c r="Y341" s="247"/>
      <c r="AA341" s="129"/>
      <c r="AB341" s="36" t="s">
        <v>49</v>
      </c>
      <c r="AC341" s="35"/>
      <c r="AD341" s="35"/>
      <c r="AE341" s="35"/>
      <c r="AF341" s="18">
        <f>Q347</f>
        <v>0</v>
      </c>
      <c r="AG341" s="17"/>
    </row>
    <row r="342" spans="1:33" x14ac:dyDescent="0.25">
      <c r="A342" t="s">
        <v>18</v>
      </c>
      <c r="C342" s="55">
        <v>20</v>
      </c>
      <c r="D342" s="55"/>
      <c r="F342" s="209" t="str">
        <f>"Company Responsible Losses @ "&amp;IF(AND(C339&lt;C328,C323&gt;0),MAX(C323-MAX(C339,C335),0),0)&amp;" MW"</f>
        <v>Company Responsible Losses @ 0 MW</v>
      </c>
      <c r="G342" s="210"/>
      <c r="H342" s="210"/>
      <c r="I342" s="210"/>
      <c r="J342" s="1">
        <f>IF(AND(C339&lt;C328,C323&gt;0),MAX(C323-MAX(C335,C339),0)*MIN(C324-C333,0),0)</f>
        <v>0</v>
      </c>
      <c r="K342" s="131"/>
      <c r="L342" s="137"/>
      <c r="Q342" s="1">
        <f>Q326</f>
        <v>0</v>
      </c>
      <c r="R342" s="131"/>
      <c r="T342" s="250" t="str">
        <f>"Company Responsible Losses @ "&amp;IF(AND(C339&lt;C328,C323&gt;0),MAX(C323-MAX(C339,C335),0),0)&amp;" MW"</f>
        <v>Company Responsible Losses @ 0 MW</v>
      </c>
      <c r="U342" s="245"/>
      <c r="V342" s="245"/>
      <c r="W342" s="245"/>
      <c r="X342" s="246">
        <f>IF(AND(C339&lt;C328,C323&gt;0),MAX(C323-MAX(C335,C339),0)*MIN(C324-C333,0),0)</f>
        <v>0</v>
      </c>
      <c r="Y342" s="247"/>
      <c r="AA342" s="2"/>
      <c r="AB342" s="135" t="s">
        <v>47</v>
      </c>
      <c r="AC342" s="19"/>
      <c r="AD342" s="19"/>
      <c r="AE342" s="19"/>
      <c r="AF342" s="146">
        <f>Q348</f>
        <v>0</v>
      </c>
      <c r="AG342" s="145"/>
    </row>
    <row r="343" spans="1:33" x14ac:dyDescent="0.25">
      <c r="A343" s="144" t="s">
        <v>17</v>
      </c>
      <c r="B343" s="143"/>
      <c r="C343" s="1">
        <v>7</v>
      </c>
      <c r="D343" s="55"/>
      <c r="F343" s="142" t="s">
        <v>51</v>
      </c>
      <c r="G343" s="141"/>
      <c r="H343" s="141"/>
      <c r="I343" s="141"/>
      <c r="J343" s="140">
        <f>Q327</f>
        <v>140</v>
      </c>
      <c r="K343" s="139"/>
      <c r="L343" s="137"/>
      <c r="M343" s="142" t="s">
        <v>51</v>
      </c>
      <c r="N343" s="141"/>
      <c r="O343" s="141"/>
      <c r="P343" s="141"/>
      <c r="Q343" s="140">
        <f>X327</f>
        <v>132.2222222222222</v>
      </c>
      <c r="R343" s="139"/>
      <c r="T343" s="244"/>
      <c r="U343" s="245"/>
      <c r="V343" s="245"/>
      <c r="W343" s="245"/>
      <c r="X343" s="246"/>
      <c r="Y343" s="247"/>
      <c r="AA343" s="129"/>
      <c r="AB343" s="36"/>
      <c r="AC343" s="35"/>
      <c r="AD343" s="35"/>
      <c r="AE343" s="35"/>
      <c r="AF343" s="18"/>
      <c r="AG343" s="17"/>
    </row>
    <row r="344" spans="1:33" x14ac:dyDescent="0.25">
      <c r="A344" s="115" t="s">
        <v>16</v>
      </c>
      <c r="C344" s="55">
        <v>0</v>
      </c>
      <c r="D344" s="55"/>
      <c r="F344" s="47"/>
      <c r="G344" s="63"/>
      <c r="H344" s="63"/>
      <c r="I344" s="63"/>
      <c r="J344" s="1"/>
      <c r="K344" s="131"/>
      <c r="L344" s="137"/>
      <c r="M344" s="136"/>
      <c r="N344" s="2"/>
      <c r="O344" s="2"/>
      <c r="P344" s="2"/>
      <c r="Q344" s="1"/>
      <c r="R344" s="131"/>
      <c r="T344" s="244"/>
      <c r="U344" s="245"/>
      <c r="V344" s="245"/>
      <c r="W344" s="245"/>
      <c r="X344" s="246"/>
      <c r="Y344" s="247"/>
      <c r="AA344" s="129"/>
      <c r="AB344" s="135" t="s">
        <v>50</v>
      </c>
      <c r="AC344" s="19"/>
      <c r="AD344" s="19"/>
      <c r="AE344" s="19"/>
      <c r="AF344" s="18">
        <f>AF338-AF340-AF341-AF342</f>
        <v>-107.77777777777783</v>
      </c>
      <c r="AG344" s="17"/>
    </row>
    <row r="345" spans="1:33" x14ac:dyDescent="0.25">
      <c r="A345" s="115" t="s">
        <v>14</v>
      </c>
      <c r="B345" s="120"/>
      <c r="C345" s="55">
        <v>100</v>
      </c>
      <c r="D345" s="55"/>
      <c r="E345" s="138"/>
      <c r="F345" s="47"/>
      <c r="G345" s="63"/>
      <c r="H345" s="63"/>
      <c r="I345" s="63"/>
      <c r="J345" s="1"/>
      <c r="K345" s="131"/>
      <c r="L345" s="137"/>
      <c r="M345" s="136"/>
      <c r="N345" s="2"/>
      <c r="O345" s="2"/>
      <c r="P345" s="2"/>
      <c r="Q345" s="1"/>
      <c r="R345" s="131"/>
      <c r="T345" s="244"/>
      <c r="U345" s="245"/>
      <c r="V345" s="245"/>
      <c r="W345" s="245"/>
      <c r="X345" s="246"/>
      <c r="Y345" s="247"/>
      <c r="AA345" s="129"/>
      <c r="AB345" s="135"/>
      <c r="AC345" s="19"/>
      <c r="AD345" s="19"/>
      <c r="AE345" s="19"/>
      <c r="AF345" s="18"/>
      <c r="AG345" s="17"/>
    </row>
    <row r="346" spans="1:33" ht="15.75" thickBot="1" x14ac:dyDescent="0.3">
      <c r="A346" s="115" t="s">
        <v>13</v>
      </c>
      <c r="B346" s="120"/>
      <c r="C346" s="55">
        <v>50</v>
      </c>
      <c r="D346" s="55"/>
      <c r="F346" s="130" t="str">
        <f>"RT Incremental Cost @ "&amp;C334&amp;" MW"</f>
        <v>RT Incremental Cost @ 70 MW</v>
      </c>
      <c r="G346" s="129"/>
      <c r="H346" s="129"/>
      <c r="I346" s="129"/>
      <c r="J346" s="1">
        <f>T319</f>
        <v>1440</v>
      </c>
      <c r="K346" s="131"/>
      <c r="L346" s="134"/>
      <c r="M346" s="130" t="str">
        <f>"RT Incremental Cost @ "&amp;C332&amp;" MW"</f>
        <v>RT Incremental Cost @ 70 MW</v>
      </c>
      <c r="N346" s="129"/>
      <c r="O346" s="129"/>
      <c r="P346" s="129"/>
      <c r="Q346" s="1">
        <f>M319</f>
        <v>1440</v>
      </c>
      <c r="R346" s="131"/>
      <c r="T346" s="248" t="str">
        <f>"RT Incremental Cost @ "&amp;C335&amp;" MW"</f>
        <v>RT Incremental Cost @ 50 MW</v>
      </c>
      <c r="U346" s="249"/>
      <c r="V346" s="249"/>
      <c r="W346" s="249"/>
      <c r="X346" s="246">
        <v>1000</v>
      </c>
      <c r="Y346" s="247"/>
      <c r="AA346" s="63"/>
      <c r="AB346" s="10" t="s">
        <v>93</v>
      </c>
      <c r="AC346" s="9"/>
      <c r="AD346" s="9"/>
      <c r="AE346" s="9"/>
      <c r="AF346" s="8">
        <f>AF344-X332</f>
        <v>-107.77777777777783</v>
      </c>
      <c r="AG346" s="7"/>
    </row>
    <row r="347" spans="1:33" x14ac:dyDescent="0.25">
      <c r="A347" s="115" t="s">
        <v>10</v>
      </c>
      <c r="B347" s="120"/>
      <c r="C347" s="55">
        <v>0.85</v>
      </c>
      <c r="D347" s="55"/>
      <c r="F347" s="130" t="s">
        <v>49</v>
      </c>
      <c r="G347" s="129"/>
      <c r="H347" s="129"/>
      <c r="I347" s="129"/>
      <c r="J347" s="1">
        <f>C337</f>
        <v>0</v>
      </c>
      <c r="K347" s="131"/>
      <c r="L347" s="6"/>
      <c r="M347" s="130" t="s">
        <v>49</v>
      </c>
      <c r="N347" s="129"/>
      <c r="O347" s="129"/>
      <c r="P347" s="129"/>
      <c r="Q347" s="1">
        <f>C337</f>
        <v>0</v>
      </c>
      <c r="R347" s="131"/>
      <c r="T347" s="248" t="s">
        <v>49</v>
      </c>
      <c r="U347" s="249"/>
      <c r="V347" s="249"/>
      <c r="W347" s="249"/>
      <c r="X347" s="246">
        <f>C337</f>
        <v>0</v>
      </c>
      <c r="Y347" s="247"/>
      <c r="AA347" s="127"/>
      <c r="AB347" s="127"/>
      <c r="AC347" s="127"/>
    </row>
    <row r="348" spans="1:33" x14ac:dyDescent="0.25">
      <c r="A348" s="115" t="s">
        <v>48</v>
      </c>
      <c r="C348" s="55">
        <f>IF(C346+C342&gt;C335,MIN((1+C344)*C342+C346,C332),IF(AND(C346+C342&lt;=C335,C345-C342&gt;=C335),IF(C344&gt;0,MIN(C344*C342+C335,C332),MAX(C344*C342+C335,C332)),MAX(C345-(1-C344)*C342,C332)))</f>
        <v>70</v>
      </c>
      <c r="D348" s="55"/>
      <c r="F348" s="130" t="s">
        <v>47</v>
      </c>
      <c r="G348" s="129"/>
      <c r="H348" s="129"/>
      <c r="I348" s="129"/>
      <c r="J348" s="1">
        <f>C336</f>
        <v>0</v>
      </c>
      <c r="K348" s="131"/>
      <c r="L348" s="6"/>
      <c r="M348" s="130" t="s">
        <v>47</v>
      </c>
      <c r="N348" s="129"/>
      <c r="O348" s="129"/>
      <c r="P348" s="129"/>
      <c r="Q348" s="1">
        <f>C336</f>
        <v>0</v>
      </c>
      <c r="R348" s="131"/>
      <c r="T348" s="248" t="s">
        <v>47</v>
      </c>
      <c r="U348" s="249"/>
      <c r="V348" s="249"/>
      <c r="W348" s="249"/>
      <c r="X348" s="246">
        <f>C336</f>
        <v>0</v>
      </c>
      <c r="Y348" s="247"/>
      <c r="AA348" s="63"/>
      <c r="AB348" s="63"/>
      <c r="AC348" s="63"/>
    </row>
    <row r="349" spans="1:33" x14ac:dyDescent="0.25">
      <c r="A349" s="115" t="s">
        <v>7</v>
      </c>
      <c r="C349" s="1">
        <v>0</v>
      </c>
      <c r="D349" s="55"/>
      <c r="F349" s="47" t="str">
        <f>" "</f>
        <v xml:space="preserve"> </v>
      </c>
      <c r="G349" s="63"/>
      <c r="H349" s="63"/>
      <c r="I349" s="63"/>
      <c r="J349" s="1"/>
      <c r="K349" s="131"/>
      <c r="M349" s="47" t="str">
        <f>" "</f>
        <v xml:space="preserve"> </v>
      </c>
      <c r="N349" s="63"/>
      <c r="O349" s="63"/>
      <c r="P349" s="63"/>
      <c r="Q349" s="1"/>
      <c r="R349" s="131"/>
      <c r="T349" s="244" t="str">
        <f>" "</f>
        <v xml:space="preserve"> </v>
      </c>
      <c r="U349" s="245"/>
      <c r="V349" s="245"/>
      <c r="W349" s="245"/>
      <c r="X349" s="246"/>
      <c r="Y349" s="247"/>
      <c r="AA349" s="127"/>
      <c r="AB349" s="127"/>
      <c r="AC349" s="127"/>
      <c r="AE349" s="120"/>
    </row>
    <row r="350" spans="1:33" x14ac:dyDescent="0.25">
      <c r="A350" s="115" t="s">
        <v>5</v>
      </c>
      <c r="C350" s="55">
        <v>0.9</v>
      </c>
      <c r="D350" s="55"/>
      <c r="F350" s="130" t="s">
        <v>46</v>
      </c>
      <c r="G350" s="129"/>
      <c r="H350" s="129"/>
      <c r="I350" s="129"/>
      <c r="J350" s="133">
        <f>J337+J341+J342+J343-J346-J347-J348</f>
        <v>-100</v>
      </c>
      <c r="K350" s="132"/>
      <c r="M350" s="128" t="s">
        <v>46</v>
      </c>
      <c r="N350" s="127"/>
      <c r="O350" s="127"/>
      <c r="P350" s="127"/>
      <c r="Q350" s="133">
        <f>Q337+Q341+Q342+Q343-Q346-Q347-Q348</f>
        <v>-107.77777777777783</v>
      </c>
      <c r="R350" s="132"/>
      <c r="S350" s="120"/>
      <c r="T350" s="252" t="s">
        <v>46</v>
      </c>
      <c r="U350" s="253"/>
      <c r="V350" s="253"/>
      <c r="W350" s="253"/>
      <c r="X350" s="254">
        <f>X337+X341-X346-X347-X348</f>
        <v>-100</v>
      </c>
      <c r="Y350" s="255"/>
      <c r="AA350" s="63"/>
      <c r="AB350" s="63"/>
      <c r="AC350" s="63"/>
      <c r="AF350" s="120"/>
    </row>
    <row r="351" spans="1:33" x14ac:dyDescent="0.25">
      <c r="A351" s="115" t="s">
        <v>90</v>
      </c>
      <c r="C351" s="55">
        <f>IF(C346+C342&gt;C335,C342+C346,IF(AND(C346+C342&lt;=C335,C345-C342&gt;=C335),C335,C345-C342))</f>
        <v>70</v>
      </c>
      <c r="D351" s="55"/>
      <c r="E351" s="122"/>
      <c r="F351" s="47" t="str">
        <f>" "</f>
        <v xml:space="preserve"> </v>
      </c>
      <c r="G351" s="63"/>
      <c r="H351" s="63"/>
      <c r="I351" s="63"/>
      <c r="J351" s="1"/>
      <c r="K351" s="131"/>
      <c r="M351" s="47" t="str">
        <f>" "</f>
        <v xml:space="preserve"> </v>
      </c>
      <c r="N351" s="63"/>
      <c r="O351" s="63"/>
      <c r="P351" s="63"/>
      <c r="Q351" s="1"/>
      <c r="R351" s="131"/>
      <c r="T351" s="244" t="str">
        <f>" "</f>
        <v xml:space="preserve"> </v>
      </c>
      <c r="U351" s="245"/>
      <c r="V351" s="245"/>
      <c r="W351" s="245"/>
      <c r="X351" s="246"/>
      <c r="Y351" s="247"/>
    </row>
    <row r="352" spans="1:33" ht="15.75" thickBot="1" x14ac:dyDescent="0.3">
      <c r="A352" s="13"/>
      <c r="B352" s="12"/>
      <c r="C352" s="4"/>
      <c r="D352" s="11"/>
      <c r="E352" s="12"/>
      <c r="F352" s="130" t="s">
        <v>45</v>
      </c>
      <c r="G352" s="129"/>
      <c r="H352" s="129"/>
      <c r="I352" s="129"/>
      <c r="J352" s="126">
        <f>MAX(MAX(J350*-1,0)-J339,0)</f>
        <v>0</v>
      </c>
      <c r="K352" s="125"/>
      <c r="M352" s="128" t="s">
        <v>45</v>
      </c>
      <c r="N352" s="127"/>
      <c r="O352" s="127"/>
      <c r="P352" s="127"/>
      <c r="Q352" s="126">
        <f>MAX(MAX(Q350*-1,0)-Q339,0)</f>
        <v>7.7777777777778283</v>
      </c>
      <c r="R352" s="125"/>
      <c r="T352" s="252" t="s">
        <v>45</v>
      </c>
      <c r="U352" s="253"/>
      <c r="V352" s="253"/>
      <c r="W352" s="253"/>
      <c r="X352" s="256">
        <f>MAX(MAX(X350*-1,0)-X339,0)</f>
        <v>0</v>
      </c>
      <c r="Y352" s="257"/>
    </row>
    <row r="353" spans="6:25" ht="16.5" thickTop="1" thickBot="1" x14ac:dyDescent="0.3">
      <c r="F353" s="59" t="str">
        <f>" "</f>
        <v xml:space="preserve"> </v>
      </c>
      <c r="G353" s="108"/>
      <c r="H353" s="108"/>
      <c r="I353" s="108"/>
      <c r="J353" s="23"/>
      <c r="K353" s="124"/>
      <c r="L353" s="29"/>
      <c r="M353" s="59" t="str">
        <f>" "</f>
        <v xml:space="preserve"> </v>
      </c>
      <c r="N353" s="108"/>
      <c r="O353" s="108"/>
      <c r="P353" s="108"/>
      <c r="Q353" s="23"/>
      <c r="R353" s="123"/>
      <c r="S353" s="29"/>
      <c r="T353" s="238" t="str">
        <f>" "</f>
        <v xml:space="preserve"> </v>
      </c>
      <c r="U353" s="239"/>
      <c r="V353" s="239"/>
      <c r="W353" s="239"/>
      <c r="X353" s="258"/>
      <c r="Y353" s="259"/>
    </row>
    <row r="354" spans="6:25" x14ac:dyDescent="0.25">
      <c r="F354" s="122"/>
      <c r="G354" s="122"/>
      <c r="H354" s="122"/>
      <c r="I354" s="122"/>
      <c r="J354" s="120"/>
      <c r="K354" s="121"/>
      <c r="L354" s="121"/>
      <c r="M354" s="121"/>
      <c r="N354" s="121"/>
      <c r="O354" s="121"/>
      <c r="Q354" s="121"/>
      <c r="R354" s="121"/>
      <c r="S354" s="121"/>
      <c r="T354" s="121"/>
      <c r="U354" s="121"/>
    </row>
    <row r="355" spans="6:25" x14ac:dyDescent="0.25">
      <c r="F355" s="12"/>
      <c r="G355" s="12"/>
      <c r="H355" s="12"/>
      <c r="I355" s="12"/>
      <c r="J355" s="120"/>
      <c r="K355" s="12"/>
      <c r="L355" s="12"/>
      <c r="M355" s="12"/>
      <c r="N355" s="12"/>
      <c r="O355" s="12"/>
      <c r="Q355" s="119"/>
      <c r="R355" s="12"/>
      <c r="S355" s="12"/>
      <c r="T355" s="12"/>
      <c r="U355" s="12"/>
    </row>
    <row r="356" spans="6:25" x14ac:dyDescent="0.25">
      <c r="L356" s="118"/>
    </row>
    <row r="357" spans="6:25" x14ac:dyDescent="0.25">
      <c r="H357" s="55"/>
      <c r="I357" s="117" t="s">
        <v>44</v>
      </c>
      <c r="J357" s="116"/>
      <c r="K357" s="55"/>
      <c r="L357" s="55"/>
    </row>
    <row r="358" spans="6:25" x14ac:dyDescent="0.25">
      <c r="H358" s="115" t="s">
        <v>43</v>
      </c>
      <c r="I358" s="55" t="s">
        <v>42</v>
      </c>
      <c r="J358" s="55"/>
      <c r="K358" s="55"/>
      <c r="L358" s="55"/>
      <c r="M358" s="54">
        <f>MIN(J352,Q352)</f>
        <v>0</v>
      </c>
      <c r="O358" s="114">
        <f>MIN(Q352,X352)</f>
        <v>0</v>
      </c>
    </row>
    <row r="359" spans="6:25" ht="30" x14ac:dyDescent="0.25">
      <c r="I359" s="113" t="s">
        <v>41</v>
      </c>
      <c r="J359" s="113"/>
      <c r="K359" s="113"/>
      <c r="L359" s="113"/>
      <c r="M359" s="113"/>
      <c r="N359" s="113"/>
      <c r="O359" s="113"/>
      <c r="P359" s="113"/>
      <c r="Q359" s="55"/>
      <c r="R359" s="55"/>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 Graph</vt:lpstr>
      <vt:lpstr>Reg Ex</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Weathers, Brian</dc:creator>
  <cp:lastModifiedBy>Weathers, Brian</cp:lastModifiedBy>
  <dcterms:created xsi:type="dcterms:W3CDTF">2024-05-23T17:33:56Z</dcterms:created>
  <dcterms:modified xsi:type="dcterms:W3CDTF">2024-06-05T15:43:37Z</dcterms:modified>
</cp:coreProperties>
</file>