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rell\AppData\Roaming\OpenText\OTEdit\EC_Cera\c246773988\"/>
    </mc:Choice>
  </mc:AlternateContent>
  <bookViews>
    <workbookView xWindow="0" yWindow="0" windowWidth="25200" windowHeight="11850"/>
  </bookViews>
  <sheets>
    <sheet name="Reserve Increase in RT" sheetId="1" r:id="rId1"/>
    <sheet name="Market Revenue Neutrality" sheetId="5" r:id="rId2"/>
    <sheet name="Reserve Decrease In RT" sheetId="4"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4" i="1" l="1"/>
  <c r="R132" i="4" l="1"/>
  <c r="AG132" i="4" s="1"/>
  <c r="C151" i="1"/>
  <c r="Y162" i="4" l="1"/>
  <c r="AC158" i="4"/>
  <c r="N158" i="4"/>
  <c r="C158" i="4"/>
  <c r="AC156" i="4"/>
  <c r="C156" i="4"/>
  <c r="C162" i="4" s="1"/>
  <c r="Y113" i="4" s="1"/>
  <c r="AA113" i="4" s="1"/>
  <c r="AJ151" i="4"/>
  <c r="AG151" i="4"/>
  <c r="AN147" i="4" s="1"/>
  <c r="R151" i="4"/>
  <c r="F151" i="4"/>
  <c r="AG150" i="4"/>
  <c r="AN146" i="4" s="1"/>
  <c r="R150" i="4"/>
  <c r="AC149" i="4"/>
  <c r="F149" i="4"/>
  <c r="Y147" i="4"/>
  <c r="F147" i="4"/>
  <c r="AG146" i="4"/>
  <c r="Y146" i="4"/>
  <c r="J146" i="4"/>
  <c r="AJ145" i="4"/>
  <c r="J145" i="4"/>
  <c r="F144" i="4"/>
  <c r="AC143" i="4"/>
  <c r="F143" i="4"/>
  <c r="J142" i="4"/>
  <c r="AG142" i="4" s="1"/>
  <c r="AN129" i="4" s="1"/>
  <c r="AJ137" i="4"/>
  <c r="U137" i="4"/>
  <c r="F137" i="4"/>
  <c r="AG153" i="4"/>
  <c r="R153" i="4"/>
  <c r="R128" i="4"/>
  <c r="J128" i="4"/>
  <c r="X122" i="4"/>
  <c r="Z122" i="4" s="1"/>
  <c r="W122" i="4"/>
  <c r="Y122" i="4" s="1"/>
  <c r="J122" i="4"/>
  <c r="I122" i="4"/>
  <c r="K122" i="4" s="1"/>
  <c r="E122" i="4"/>
  <c r="C122" i="4"/>
  <c r="B122" i="4"/>
  <c r="D122" i="4" s="1"/>
  <c r="Z121" i="4"/>
  <c r="X121" i="4"/>
  <c r="J121" i="4"/>
  <c r="C121" i="4"/>
  <c r="Z120" i="4"/>
  <c r="X120" i="4"/>
  <c r="W121" i="4" s="1"/>
  <c r="Y121" i="4" s="1"/>
  <c r="L120" i="4"/>
  <c r="J120" i="4"/>
  <c r="I121" i="4" s="1"/>
  <c r="E120" i="4"/>
  <c r="C120" i="4"/>
  <c r="B121" i="4" s="1"/>
  <c r="Z119" i="4"/>
  <c r="X119" i="4"/>
  <c r="W120" i="4" s="1"/>
  <c r="Y120" i="4" s="1"/>
  <c r="L119" i="4"/>
  <c r="J119" i="4"/>
  <c r="I120" i="4" s="1"/>
  <c r="E119" i="4"/>
  <c r="D119" i="4"/>
  <c r="C119" i="4"/>
  <c r="B120" i="4" s="1"/>
  <c r="Z115" i="4"/>
  <c r="AB115" i="4" s="1"/>
  <c r="V115" i="4"/>
  <c r="X115" i="4" s="1"/>
  <c r="Q115" i="4"/>
  <c r="S115" i="4" s="1"/>
  <c r="N115" i="4"/>
  <c r="P115" i="4" s="1"/>
  <c r="H115" i="4"/>
  <c r="J115" i="4" s="1"/>
  <c r="L121" i="4" s="1"/>
  <c r="E115" i="4"/>
  <c r="G115" i="4" s="1"/>
  <c r="E121" i="4" s="1"/>
  <c r="Z114" i="4"/>
  <c r="AB114" i="4" s="1"/>
  <c r="V114" i="4"/>
  <c r="X114" i="4" s="1"/>
  <c r="R114" i="4"/>
  <c r="T114" i="4" s="1"/>
  <c r="Q114" i="4"/>
  <c r="S114" i="4" s="1"/>
  <c r="N114" i="4"/>
  <c r="P114" i="4" s="1"/>
  <c r="H114" i="4"/>
  <c r="J114" i="4" s="1"/>
  <c r="E114" i="4"/>
  <c r="G114" i="4" s="1"/>
  <c r="R113" i="4"/>
  <c r="T113" i="4" s="1"/>
  <c r="Q113" i="4"/>
  <c r="S113" i="4" s="1"/>
  <c r="O113" i="4"/>
  <c r="Y119" i="4" s="1"/>
  <c r="AA119" i="4" s="1"/>
  <c r="L113" i="4"/>
  <c r="R119" i="4" s="1"/>
  <c r="I113" i="4"/>
  <c r="K119" i="4" s="1"/>
  <c r="H113" i="4"/>
  <c r="J113" i="4" s="1"/>
  <c r="F113" i="4"/>
  <c r="E113" i="4"/>
  <c r="G113" i="4" s="1"/>
  <c r="Y54" i="4"/>
  <c r="AC50" i="4"/>
  <c r="N50" i="4"/>
  <c r="C50" i="4"/>
  <c r="Y7" i="4" s="1"/>
  <c r="AA7" i="4" s="1"/>
  <c r="AC48" i="4"/>
  <c r="C48" i="4"/>
  <c r="AG20" i="4" s="1"/>
  <c r="AJ43" i="4"/>
  <c r="AG43" i="4"/>
  <c r="AN39" i="4" s="1"/>
  <c r="U43" i="4"/>
  <c r="R43" i="4"/>
  <c r="F43" i="4"/>
  <c r="AG42" i="4"/>
  <c r="AN38" i="4" s="1"/>
  <c r="R42" i="4"/>
  <c r="AC41" i="4"/>
  <c r="F41" i="4"/>
  <c r="Y39" i="4"/>
  <c r="F39" i="4"/>
  <c r="AG38" i="4"/>
  <c r="AN23" i="4" s="1"/>
  <c r="Y38" i="4"/>
  <c r="J38" i="4"/>
  <c r="AJ37" i="4"/>
  <c r="J37" i="4"/>
  <c r="F36" i="4"/>
  <c r="AC35" i="4"/>
  <c r="F35" i="4"/>
  <c r="J34" i="4"/>
  <c r="AJ29" i="4"/>
  <c r="U29" i="4"/>
  <c r="F29" i="4"/>
  <c r="R23" i="4"/>
  <c r="AG23" i="4" s="1"/>
  <c r="R20" i="4"/>
  <c r="J20" i="4"/>
  <c r="X14" i="4"/>
  <c r="W14" i="4"/>
  <c r="Y14" i="4" s="1"/>
  <c r="L14" i="4"/>
  <c r="J14" i="4"/>
  <c r="I14" i="4"/>
  <c r="K14" i="4" s="1"/>
  <c r="E14" i="4"/>
  <c r="C14" i="4"/>
  <c r="B14" i="4"/>
  <c r="D14" i="4" s="1"/>
  <c r="Z13" i="4"/>
  <c r="X13" i="4"/>
  <c r="J13" i="4"/>
  <c r="C13" i="4"/>
  <c r="B13" i="4"/>
  <c r="Z12" i="4"/>
  <c r="X12" i="4"/>
  <c r="W13" i="4" s="1"/>
  <c r="L12" i="4"/>
  <c r="J12" i="4"/>
  <c r="I13" i="4" s="1"/>
  <c r="I12" i="4"/>
  <c r="K12" i="4" s="1"/>
  <c r="E12" i="4"/>
  <c r="C12" i="4"/>
  <c r="Z11" i="4"/>
  <c r="X11" i="4"/>
  <c r="W12" i="4" s="1"/>
  <c r="Y12" i="4" s="1"/>
  <c r="L11" i="4"/>
  <c r="J11" i="4"/>
  <c r="E11" i="4"/>
  <c r="C11" i="4"/>
  <c r="B12" i="4" s="1"/>
  <c r="Q7" i="4"/>
  <c r="S7" i="4" s="1"/>
  <c r="N7" i="4"/>
  <c r="P7" i="4" s="1"/>
  <c r="H7" i="4"/>
  <c r="J7" i="4" s="1"/>
  <c r="L13" i="4" s="1"/>
  <c r="E7" i="4"/>
  <c r="G7" i="4" s="1"/>
  <c r="E13" i="4" s="1"/>
  <c r="R6" i="4"/>
  <c r="T6" i="4" s="1"/>
  <c r="Q6" i="4"/>
  <c r="S6" i="4" s="1"/>
  <c r="N6" i="4"/>
  <c r="P6" i="4" s="1"/>
  <c r="H6" i="4"/>
  <c r="J6" i="4" s="1"/>
  <c r="E6" i="4"/>
  <c r="G6" i="4" s="1"/>
  <c r="R5" i="4"/>
  <c r="Q5" i="4"/>
  <c r="S5" i="4" s="1"/>
  <c r="O5" i="4"/>
  <c r="Y11" i="4" s="1"/>
  <c r="L5" i="4"/>
  <c r="R11" i="4" s="1"/>
  <c r="I5" i="4"/>
  <c r="K11" i="4" s="1"/>
  <c r="H5" i="4"/>
  <c r="J5" i="4" s="1"/>
  <c r="F5" i="4"/>
  <c r="D11" i="4" s="1"/>
  <c r="E5" i="4"/>
  <c r="D13" i="4" l="1"/>
  <c r="K121" i="4"/>
  <c r="AN131" i="4"/>
  <c r="U7" i="4"/>
  <c r="W7" i="4" s="1"/>
  <c r="C31" i="4"/>
  <c r="N5" i="4"/>
  <c r="P5" i="4" s="1"/>
  <c r="Z7" i="4"/>
  <c r="AB7" i="4" s="1"/>
  <c r="F14" i="4"/>
  <c r="U6" i="4"/>
  <c r="W6" i="4" s="1"/>
  <c r="C161" i="4"/>
  <c r="C139" i="4"/>
  <c r="V6" i="4"/>
  <c r="X6" i="4" s="1"/>
  <c r="Y13" i="4"/>
  <c r="AA13" i="4" s="1"/>
  <c r="F119" i="4"/>
  <c r="AA122" i="4"/>
  <c r="AG128" i="4"/>
  <c r="Y115" i="4"/>
  <c r="AA115" i="4" s="1"/>
  <c r="R115" i="4"/>
  <c r="Y114" i="4"/>
  <c r="AA114" i="4" s="1"/>
  <c r="K120" i="4"/>
  <c r="M120" i="4" s="1"/>
  <c r="M121" i="4"/>
  <c r="M119" i="4"/>
  <c r="D120" i="4"/>
  <c r="F120" i="4" s="1"/>
  <c r="F123" i="4" s="1"/>
  <c r="J144" i="4" s="1"/>
  <c r="J148" i="4" s="1"/>
  <c r="J150" i="4" s="1"/>
  <c r="R142" i="4"/>
  <c r="Y129" i="4" s="1"/>
  <c r="N113" i="4"/>
  <c r="P113" i="4" s="1"/>
  <c r="AA120" i="4"/>
  <c r="D121" i="4"/>
  <c r="F121" i="4" s="1"/>
  <c r="M11" i="4"/>
  <c r="C54" i="4"/>
  <c r="Y5" i="4" s="1"/>
  <c r="AA5" i="4" s="1"/>
  <c r="K13" i="4"/>
  <c r="M13" i="4" s="1"/>
  <c r="F122" i="4"/>
  <c r="AA121" i="4"/>
  <c r="M14" i="4"/>
  <c r="F13" i="4"/>
  <c r="D12" i="4"/>
  <c r="F12" i="4" s="1"/>
  <c r="T5" i="4"/>
  <c r="AA12" i="4"/>
  <c r="L122" i="4"/>
  <c r="M122" i="4" s="1"/>
  <c r="C53" i="4"/>
  <c r="U5" i="4" s="1"/>
  <c r="W5" i="4" s="1"/>
  <c r="Z6" i="4"/>
  <c r="AB6" i="4" s="1"/>
  <c r="R7" i="4"/>
  <c r="T7" i="4" s="1"/>
  <c r="M12" i="4"/>
  <c r="Z14" i="4"/>
  <c r="AA14" i="4" s="1"/>
  <c r="R22" i="4"/>
  <c r="R39" i="4" s="1"/>
  <c r="R34" i="4"/>
  <c r="V5" i="4"/>
  <c r="X5" i="4" s="1"/>
  <c r="F11" i="4"/>
  <c r="AA11" i="4"/>
  <c r="AG22" i="4"/>
  <c r="AG39" i="4" s="1"/>
  <c r="AG34" i="4"/>
  <c r="V7" i="4"/>
  <c r="X7" i="4" s="1"/>
  <c r="G5" i="4"/>
  <c r="Z5" i="4"/>
  <c r="AB5" i="4" s="1"/>
  <c r="Y6" i="4"/>
  <c r="AA6" i="4" s="1"/>
  <c r="R240" i="1"/>
  <c r="AG240" i="1" s="1"/>
  <c r="R126" i="1"/>
  <c r="AG126" i="1"/>
  <c r="AG147" i="1" s="1"/>
  <c r="AC267" i="1"/>
  <c r="AC265" i="1"/>
  <c r="AG260" i="1"/>
  <c r="AG259" i="1"/>
  <c r="AC258" i="1"/>
  <c r="AG255" i="1"/>
  <c r="AC252" i="1"/>
  <c r="AG127" i="1"/>
  <c r="U113" i="4" l="1"/>
  <c r="W113" i="4" s="1"/>
  <c r="U114" i="4"/>
  <c r="W114" i="4" s="1"/>
  <c r="AA15" i="4"/>
  <c r="M15" i="4"/>
  <c r="AG41" i="4" s="1"/>
  <c r="AN37" i="4" s="1"/>
  <c r="U115" i="4"/>
  <c r="W115" i="4" s="1"/>
  <c r="N149" i="4"/>
  <c r="Z113" i="4"/>
  <c r="AB113" i="4" s="1"/>
  <c r="Q121" i="4"/>
  <c r="P122" i="4"/>
  <c r="R122" i="4" s="1"/>
  <c r="K115" i="4"/>
  <c r="M115" i="4" s="1"/>
  <c r="S121" i="4" s="1"/>
  <c r="K114" i="4"/>
  <c r="M114" i="4" s="1"/>
  <c r="S119" i="4"/>
  <c r="Q122" i="4"/>
  <c r="S122" i="4" s="1"/>
  <c r="Q119" i="4"/>
  <c r="V113" i="4"/>
  <c r="X113" i="4" s="1"/>
  <c r="K113" i="4"/>
  <c r="M113" i="4" s="1"/>
  <c r="R146" i="4"/>
  <c r="Y131" i="4" s="1"/>
  <c r="S120" i="4"/>
  <c r="U145" i="4"/>
  <c r="Q120" i="4"/>
  <c r="S11" i="4"/>
  <c r="U37" i="4"/>
  <c r="P14" i="4"/>
  <c r="R14" i="4" s="1"/>
  <c r="Q11" i="4"/>
  <c r="K5" i="4"/>
  <c r="M5" i="4" s="1"/>
  <c r="R38" i="4"/>
  <c r="Y23" i="4" s="1"/>
  <c r="S12" i="4"/>
  <c r="Q12" i="4"/>
  <c r="N41" i="4"/>
  <c r="K6" i="4"/>
  <c r="M6" i="4" s="1"/>
  <c r="S13" i="4"/>
  <c r="Q13" i="4"/>
  <c r="Q14" i="4"/>
  <c r="K7" i="4"/>
  <c r="M7" i="4" s="1"/>
  <c r="AG130" i="4"/>
  <c r="AG147" i="4" s="1"/>
  <c r="T115" i="4"/>
  <c r="J130" i="4" s="1"/>
  <c r="AG145" i="4" s="1"/>
  <c r="M123" i="4"/>
  <c r="AG149" i="4" s="1"/>
  <c r="AN145" i="4" s="1"/>
  <c r="AA123" i="4"/>
  <c r="AG144" i="4"/>
  <c r="R144" i="4"/>
  <c r="F15" i="4"/>
  <c r="J36" i="4" s="1"/>
  <c r="J40" i="4" s="1"/>
  <c r="J42" i="4" s="1"/>
  <c r="J22" i="4"/>
  <c r="Y21" i="4"/>
  <c r="AN21" i="4"/>
  <c r="R237" i="1"/>
  <c r="R127" i="1"/>
  <c r="N267" i="1"/>
  <c r="R260" i="1"/>
  <c r="R259" i="1"/>
  <c r="P12" i="4" l="1"/>
  <c r="R12" i="4" s="1"/>
  <c r="T11" i="4"/>
  <c r="T12" i="4"/>
  <c r="P13" i="4"/>
  <c r="R13" i="4" s="1"/>
  <c r="R130" i="4"/>
  <c r="R147" i="4" s="1"/>
  <c r="P120" i="4"/>
  <c r="R120" i="4" s="1"/>
  <c r="T119" i="4"/>
  <c r="S14" i="4"/>
  <c r="T14" i="4"/>
  <c r="P121" i="4"/>
  <c r="R121" i="4" s="1"/>
  <c r="T121" i="4" s="1"/>
  <c r="T122" i="4"/>
  <c r="R145" i="4"/>
  <c r="J136" i="4"/>
  <c r="AG137" i="4"/>
  <c r="AG154" i="4" s="1"/>
  <c r="AG37" i="4"/>
  <c r="R37" i="4"/>
  <c r="J28" i="4"/>
  <c r="AG29" i="4"/>
  <c r="AG46" i="4" s="1"/>
  <c r="AG44" i="4"/>
  <c r="R36" i="4"/>
  <c r="AG36" i="4"/>
  <c r="T13" i="4" l="1"/>
  <c r="T15" i="4"/>
  <c r="R41" i="4" s="1"/>
  <c r="R131" i="4"/>
  <c r="AG131" i="4" s="1"/>
  <c r="T120" i="4"/>
  <c r="T123" i="4" s="1"/>
  <c r="R149" i="4" s="1"/>
  <c r="AJ140" i="1"/>
  <c r="AJ254" i="1"/>
  <c r="C267" i="1"/>
  <c r="C265" i="1"/>
  <c r="AG237" i="1" s="1"/>
  <c r="AJ260" i="1"/>
  <c r="U260" i="1"/>
  <c r="F260" i="1"/>
  <c r="AN255" i="1"/>
  <c r="F258" i="1"/>
  <c r="AN256" i="1"/>
  <c r="Y256" i="1"/>
  <c r="F256" i="1"/>
  <c r="Y255" i="1"/>
  <c r="J255" i="1"/>
  <c r="J254" i="1"/>
  <c r="F253" i="1"/>
  <c r="F252" i="1"/>
  <c r="J251" i="1"/>
  <c r="AJ246" i="1"/>
  <c r="U246" i="1"/>
  <c r="F246" i="1"/>
  <c r="AN240" i="1"/>
  <c r="J237" i="1"/>
  <c r="X231" i="1"/>
  <c r="Z231" i="1" s="1"/>
  <c r="W231" i="1"/>
  <c r="Y231" i="1" s="1"/>
  <c r="J231" i="1"/>
  <c r="I231" i="1"/>
  <c r="K231" i="1" s="1"/>
  <c r="E231" i="1"/>
  <c r="C231" i="1"/>
  <c r="B231" i="1"/>
  <c r="D231" i="1" s="1"/>
  <c r="Z230" i="1"/>
  <c r="X230" i="1"/>
  <c r="J230" i="1"/>
  <c r="C230" i="1"/>
  <c r="Z229" i="1"/>
  <c r="X229" i="1"/>
  <c r="W230" i="1" s="1"/>
  <c r="Y230" i="1" s="1"/>
  <c r="L229" i="1"/>
  <c r="J229" i="1"/>
  <c r="I230" i="1" s="1"/>
  <c r="K230" i="1" s="1"/>
  <c r="E229" i="1"/>
  <c r="C229" i="1"/>
  <c r="B230" i="1" s="1"/>
  <c r="D230" i="1" s="1"/>
  <c r="B229" i="1"/>
  <c r="Z228" i="1"/>
  <c r="X228" i="1"/>
  <c r="W229" i="1" s="1"/>
  <c r="L228" i="1"/>
  <c r="J228" i="1"/>
  <c r="I229" i="1" s="1"/>
  <c r="E228" i="1"/>
  <c r="C228" i="1"/>
  <c r="Q224" i="1"/>
  <c r="S224" i="1" s="1"/>
  <c r="N224" i="1"/>
  <c r="P224" i="1" s="1"/>
  <c r="H224" i="1"/>
  <c r="J224" i="1" s="1"/>
  <c r="L230" i="1" s="1"/>
  <c r="E224" i="1"/>
  <c r="G224" i="1" s="1"/>
  <c r="E230" i="1" s="1"/>
  <c r="R223" i="1"/>
  <c r="T223" i="1" s="1"/>
  <c r="Q223" i="1"/>
  <c r="S223" i="1" s="1"/>
  <c r="N223" i="1"/>
  <c r="P223" i="1" s="1"/>
  <c r="H223" i="1"/>
  <c r="J223" i="1" s="1"/>
  <c r="E223" i="1"/>
  <c r="G223" i="1" s="1"/>
  <c r="R222" i="1"/>
  <c r="T222" i="1" s="1"/>
  <c r="Q222" i="1"/>
  <c r="S222" i="1" s="1"/>
  <c r="O222" i="1"/>
  <c r="Y228" i="1" s="1"/>
  <c r="L222" i="1"/>
  <c r="R228" i="1" s="1"/>
  <c r="I222" i="1"/>
  <c r="K228" i="1" s="1"/>
  <c r="H222" i="1"/>
  <c r="J222" i="1" s="1"/>
  <c r="F222" i="1"/>
  <c r="D228" i="1" s="1"/>
  <c r="E222" i="1"/>
  <c r="N222" i="1" s="1"/>
  <c r="P222" i="1" s="1"/>
  <c r="V224" i="1" l="1"/>
  <c r="X224" i="1" s="1"/>
  <c r="V222" i="1"/>
  <c r="C248" i="1"/>
  <c r="D229" i="1"/>
  <c r="F229" i="1" s="1"/>
  <c r="R137" i="4"/>
  <c r="R154" i="4" s="1"/>
  <c r="R155" i="4" s="1"/>
  <c r="R133" i="4"/>
  <c r="R136" i="4" s="1"/>
  <c r="Y133" i="4" s="1"/>
  <c r="Y136" i="4" s="1"/>
  <c r="Y143" i="4" s="1"/>
  <c r="Y149" i="4" s="1"/>
  <c r="Y151" i="4" s="1"/>
  <c r="Y145" i="4"/>
  <c r="R24" i="4"/>
  <c r="Y37" i="4"/>
  <c r="AG152" i="4"/>
  <c r="AG155" i="4" s="1"/>
  <c r="AG133" i="4"/>
  <c r="AG136" i="4" s="1"/>
  <c r="AN133" i="4" s="1"/>
  <c r="AN136" i="4" s="1"/>
  <c r="AN143" i="4" s="1"/>
  <c r="AN149" i="4" s="1"/>
  <c r="X222" i="1"/>
  <c r="R224" i="1"/>
  <c r="T224" i="1" s="1"/>
  <c r="F231" i="1"/>
  <c r="G222" i="1"/>
  <c r="AG251" i="1"/>
  <c r="AN238" i="1" s="1"/>
  <c r="R251" i="1"/>
  <c r="C270" i="1"/>
  <c r="U222" i="1" s="1"/>
  <c r="W222" i="1" s="1"/>
  <c r="Z223" i="1"/>
  <c r="AB223" i="1" s="1"/>
  <c r="C271" i="1"/>
  <c r="Y224" i="1" s="1"/>
  <c r="AA224" i="1" s="1"/>
  <c r="F228" i="1"/>
  <c r="AA230" i="1"/>
  <c r="Y229" i="1"/>
  <c r="AA229" i="1" s="1"/>
  <c r="K229" i="1"/>
  <c r="M229" i="1" s="1"/>
  <c r="F230" i="1"/>
  <c r="M230" i="1"/>
  <c r="AA228" i="1"/>
  <c r="AA231" i="1"/>
  <c r="L231" i="1"/>
  <c r="M231" i="1" s="1"/>
  <c r="M228" i="1"/>
  <c r="V223" i="1"/>
  <c r="X223" i="1" s="1"/>
  <c r="Z224" i="1"/>
  <c r="AB224" i="1" s="1"/>
  <c r="U224" i="1" l="1"/>
  <c r="W224" i="1" s="1"/>
  <c r="N258" i="1"/>
  <c r="R255" i="1"/>
  <c r="Y240" i="1" s="1"/>
  <c r="Q230" i="1"/>
  <c r="P231" i="1"/>
  <c r="R231" i="1" s="1"/>
  <c r="S228" i="1"/>
  <c r="Q228" i="1"/>
  <c r="K223" i="1"/>
  <c r="M223" i="1" s="1"/>
  <c r="S229" i="1" s="1"/>
  <c r="Q229" i="1"/>
  <c r="K224" i="1"/>
  <c r="M224" i="1" s="1"/>
  <c r="S230" i="1" s="1"/>
  <c r="K222" i="1"/>
  <c r="M222" i="1" s="1"/>
  <c r="P230" i="1"/>
  <c r="R230" i="1" s="1"/>
  <c r="U254" i="1"/>
  <c r="Q231" i="1"/>
  <c r="Z222" i="1"/>
  <c r="AB222" i="1" s="1"/>
  <c r="R157" i="4"/>
  <c r="R29" i="4"/>
  <c r="R46" i="4" s="1"/>
  <c r="AG24" i="4"/>
  <c r="R25" i="4"/>
  <c r="R45" i="4"/>
  <c r="AG157" i="4"/>
  <c r="U223" i="1"/>
  <c r="W223" i="1" s="1"/>
  <c r="J239" i="1"/>
  <c r="AG254" i="1" s="1"/>
  <c r="Y223" i="1"/>
  <c r="AA223" i="1" s="1"/>
  <c r="Y222" i="1"/>
  <c r="AA222" i="1" s="1"/>
  <c r="F232" i="1"/>
  <c r="J253" i="1" s="1"/>
  <c r="J257" i="1" s="1"/>
  <c r="J259" i="1" s="1"/>
  <c r="AA232" i="1"/>
  <c r="M232" i="1"/>
  <c r="Y238" i="1"/>
  <c r="R123" i="1"/>
  <c r="P229" i="1" l="1"/>
  <c r="R229" i="1" s="1"/>
  <c r="T228" i="1"/>
  <c r="T229" i="1"/>
  <c r="T230" i="1"/>
  <c r="S231" i="1"/>
  <c r="T231" i="1"/>
  <c r="R28" i="4"/>
  <c r="Y25" i="4" s="1"/>
  <c r="Y28" i="4" s="1"/>
  <c r="Y35" i="4" s="1"/>
  <c r="Y41" i="4" s="1"/>
  <c r="AG45" i="4"/>
  <c r="AG47" i="4" s="1"/>
  <c r="AG49" i="4" s="1"/>
  <c r="AG25" i="4"/>
  <c r="AG28" i="4" s="1"/>
  <c r="AN25" i="4" s="1"/>
  <c r="AN28" i="4" s="1"/>
  <c r="AN35" i="4" s="1"/>
  <c r="AN41" i="4" s="1"/>
  <c r="R47" i="4"/>
  <c r="J245" i="1"/>
  <c r="R254" i="1"/>
  <c r="R239" i="1"/>
  <c r="R256" i="1" s="1"/>
  <c r="AG253" i="1"/>
  <c r="R253" i="1"/>
  <c r="AG239" i="1"/>
  <c r="AG256" i="1" s="1"/>
  <c r="R241" i="1"/>
  <c r="AG241" i="1" s="1"/>
  <c r="AG258" i="1"/>
  <c r="T232" i="1" l="1"/>
  <c r="R258" i="1" s="1"/>
  <c r="Y254" i="1" s="1"/>
  <c r="R49" i="4"/>
  <c r="AG262" i="1"/>
  <c r="R242" i="1"/>
  <c r="R245" i="1" s="1"/>
  <c r="Y242" i="1" s="1"/>
  <c r="Y245" i="1" s="1"/>
  <c r="Y252" i="1" s="1"/>
  <c r="Y258" i="1" s="1"/>
  <c r="AG246" i="1"/>
  <c r="AG263" i="1" s="1"/>
  <c r="AN254" i="1"/>
  <c r="R246" i="1"/>
  <c r="R263" i="1" s="1"/>
  <c r="R262" i="1"/>
  <c r="AG261" i="1"/>
  <c r="AG242" i="1"/>
  <c r="AG245" i="1" s="1"/>
  <c r="AN242" i="1" s="1"/>
  <c r="AN245" i="1" s="1"/>
  <c r="AN252" i="1" s="1"/>
  <c r="AN258" i="1" s="1"/>
  <c r="Y271" i="1"/>
  <c r="C157" i="1"/>
  <c r="Y108" i="1" s="1"/>
  <c r="AA108" i="1" s="1"/>
  <c r="Y142" i="1"/>
  <c r="Y141" i="1"/>
  <c r="U146" i="1"/>
  <c r="U132" i="1"/>
  <c r="AJ132" i="1"/>
  <c r="AC153" i="1"/>
  <c r="N153" i="1"/>
  <c r="AC151" i="1"/>
  <c r="AJ146" i="1"/>
  <c r="AG146" i="1"/>
  <c r="AN142" i="1" s="1"/>
  <c r="R146" i="1"/>
  <c r="AG145" i="1"/>
  <c r="AN141" i="1" s="1"/>
  <c r="R145" i="1"/>
  <c r="AC144" i="1"/>
  <c r="AG141" i="1"/>
  <c r="AC138" i="1"/>
  <c r="F132" i="1"/>
  <c r="F146" i="1"/>
  <c r="F144" i="1"/>
  <c r="F142" i="1"/>
  <c r="J141" i="1"/>
  <c r="J140" i="1"/>
  <c r="F139" i="1"/>
  <c r="F138" i="1"/>
  <c r="J123" i="1"/>
  <c r="J137" i="1"/>
  <c r="AG137" i="1" s="1"/>
  <c r="X117" i="1"/>
  <c r="Z117" i="1" s="1"/>
  <c r="W117" i="1"/>
  <c r="Y117" i="1" s="1"/>
  <c r="J117" i="1"/>
  <c r="L117" i="1" s="1"/>
  <c r="I117" i="1"/>
  <c r="K117" i="1" s="1"/>
  <c r="E117" i="1"/>
  <c r="C117" i="1"/>
  <c r="B117" i="1"/>
  <c r="D117" i="1" s="1"/>
  <c r="Z116" i="1"/>
  <c r="X116" i="1"/>
  <c r="J116" i="1"/>
  <c r="C116" i="1"/>
  <c r="Z115" i="1"/>
  <c r="X115" i="1"/>
  <c r="W116" i="1" s="1"/>
  <c r="L115" i="1"/>
  <c r="J115" i="1"/>
  <c r="I116" i="1" s="1"/>
  <c r="E115" i="1"/>
  <c r="C115" i="1"/>
  <c r="B116" i="1" s="1"/>
  <c r="Z114" i="1"/>
  <c r="X114" i="1"/>
  <c r="W115" i="1" s="1"/>
  <c r="L114" i="1"/>
  <c r="J114" i="1"/>
  <c r="E114" i="1"/>
  <c r="C114" i="1"/>
  <c r="B115" i="1" s="1"/>
  <c r="Q110" i="1"/>
  <c r="S110" i="1" s="1"/>
  <c r="N110" i="1"/>
  <c r="P110" i="1" s="1"/>
  <c r="H110" i="1"/>
  <c r="J110" i="1" s="1"/>
  <c r="L116" i="1" s="1"/>
  <c r="E110" i="1"/>
  <c r="G110" i="1" s="1"/>
  <c r="E116" i="1" s="1"/>
  <c r="R109" i="1"/>
  <c r="T109" i="1" s="1"/>
  <c r="Q109" i="1"/>
  <c r="S109" i="1" s="1"/>
  <c r="N109" i="1"/>
  <c r="P109" i="1" s="1"/>
  <c r="H109" i="1"/>
  <c r="J109" i="1" s="1"/>
  <c r="E109" i="1"/>
  <c r="G109" i="1" s="1"/>
  <c r="R108" i="1"/>
  <c r="Q108" i="1"/>
  <c r="S108" i="1" s="1"/>
  <c r="O108" i="1"/>
  <c r="Y114" i="1" s="1"/>
  <c r="L108" i="1"/>
  <c r="R114" i="1" s="1"/>
  <c r="I108" i="1"/>
  <c r="K114" i="1" s="1"/>
  <c r="H108" i="1"/>
  <c r="J108" i="1" s="1"/>
  <c r="F108" i="1"/>
  <c r="D114" i="1" s="1"/>
  <c r="E108" i="1"/>
  <c r="AG264" i="1" l="1"/>
  <c r="AG266" i="1" s="1"/>
  <c r="R264" i="1"/>
  <c r="R266" i="1" s="1"/>
  <c r="V109" i="1"/>
  <c r="X109" i="1" s="1"/>
  <c r="AG123" i="1"/>
  <c r="AN124" i="1"/>
  <c r="AN126" i="1"/>
  <c r="Y115" i="1"/>
  <c r="AA115" i="1" s="1"/>
  <c r="F114" i="1"/>
  <c r="D115" i="1"/>
  <c r="F115" i="1" s="1"/>
  <c r="M114" i="1"/>
  <c r="AA114" i="1"/>
  <c r="I115" i="1"/>
  <c r="K115" i="1" s="1"/>
  <c r="AA117" i="1"/>
  <c r="M117" i="1"/>
  <c r="N108" i="1"/>
  <c r="P108" i="1" s="1"/>
  <c r="K116" i="1"/>
  <c r="M116" i="1" s="1"/>
  <c r="F117" i="1"/>
  <c r="Y116" i="1"/>
  <c r="AA116" i="1" s="1"/>
  <c r="D116" i="1"/>
  <c r="F116" i="1" s="1"/>
  <c r="T108" i="1"/>
  <c r="Z110" i="1"/>
  <c r="AB110" i="1" s="1"/>
  <c r="G108" i="1"/>
  <c r="Y109" i="1"/>
  <c r="AA109" i="1" s="1"/>
  <c r="Z109" i="1"/>
  <c r="AB109" i="1" s="1"/>
  <c r="R110" i="1"/>
  <c r="T110" i="1" s="1"/>
  <c r="Y110" i="1"/>
  <c r="AA110" i="1" s="1"/>
  <c r="C156" i="1"/>
  <c r="V110" i="1"/>
  <c r="X110" i="1" s="1"/>
  <c r="R137" i="1"/>
  <c r="Y124" i="1" s="1"/>
  <c r="U108" i="1" l="1"/>
  <c r="W108" i="1" s="1"/>
  <c r="U110" i="1"/>
  <c r="W110" i="1" s="1"/>
  <c r="U109" i="1"/>
  <c r="W109" i="1" s="1"/>
  <c r="AA118" i="1"/>
  <c r="M115" i="1"/>
  <c r="M118" i="1" s="1"/>
  <c r="AG144" i="1" s="1"/>
  <c r="J125" i="1"/>
  <c r="AG140" i="1" s="1"/>
  <c r="F118" i="1"/>
  <c r="J139" i="1" s="1"/>
  <c r="V108" i="1" l="1"/>
  <c r="X108" i="1" s="1"/>
  <c r="Z108" i="1"/>
  <c r="U140" i="1"/>
  <c r="K108" i="1"/>
  <c r="M108" i="1" s="1"/>
  <c r="Q116" i="1"/>
  <c r="S114" i="1"/>
  <c r="Q114" i="1"/>
  <c r="K109" i="1"/>
  <c r="M109" i="1" s="1"/>
  <c r="N144" i="1"/>
  <c r="R141" i="1"/>
  <c r="P117" i="1"/>
  <c r="R117" i="1" s="1"/>
  <c r="S115" i="1"/>
  <c r="Q117" i="1"/>
  <c r="Q115" i="1"/>
  <c r="P116" i="1" s="1"/>
  <c r="K110" i="1"/>
  <c r="M110" i="1" s="1"/>
  <c r="S116" i="1" s="1"/>
  <c r="R140" i="1"/>
  <c r="J131" i="1"/>
  <c r="J143" i="1"/>
  <c r="J145" i="1" s="1"/>
  <c r="AG148" i="1"/>
  <c r="R148" i="1"/>
  <c r="R125" i="1"/>
  <c r="R142" i="1" s="1"/>
  <c r="AN140" i="1"/>
  <c r="Y126" i="1" l="1"/>
  <c r="AB108" i="1"/>
  <c r="AG125" i="1"/>
  <c r="R116" i="1"/>
  <c r="T116" i="1" s="1"/>
  <c r="S117" i="1"/>
  <c r="T117" i="1" s="1"/>
  <c r="P115" i="1"/>
  <c r="R115" i="1" s="1"/>
  <c r="T115" i="1" s="1"/>
  <c r="T114" i="1"/>
  <c r="R132" i="1"/>
  <c r="R149" i="1" s="1"/>
  <c r="AG139" i="1"/>
  <c r="R139" i="1"/>
  <c r="R128" i="1"/>
  <c r="AG128" i="1" l="1"/>
  <c r="AG131" i="1" s="1"/>
  <c r="AG142" i="1"/>
  <c r="AG132" i="1"/>
  <c r="AG149" i="1" s="1"/>
  <c r="AG150" i="1" s="1"/>
  <c r="AG152" i="1" s="1"/>
  <c r="T118" i="1"/>
  <c r="R144" i="1" s="1"/>
  <c r="R131" i="1"/>
  <c r="Y128" i="1" s="1"/>
  <c r="Y131" i="1" s="1"/>
  <c r="Y138" i="1" s="1"/>
  <c r="AN128" i="1"/>
  <c r="AN131" i="1" s="1"/>
  <c r="AN138" i="1" s="1"/>
  <c r="AN144" i="1" s="1"/>
  <c r="Y140" i="1" l="1"/>
  <c r="Y144" i="1" s="1"/>
  <c r="R150" i="1"/>
  <c r="R152" i="1" s="1"/>
  <c r="Y157" i="1" s="1"/>
</calcChain>
</file>

<file path=xl/comments1.xml><?xml version="1.0" encoding="utf-8"?>
<comments xmlns="http://schemas.openxmlformats.org/spreadsheetml/2006/main">
  <authors>
    <author>SMK</author>
  </authors>
  <commentList>
    <comment ref="B107" authorId="0" shapeId="0">
      <text>
        <r>
          <rPr>
            <sz val="9"/>
            <color indexed="81"/>
            <rFont val="Tahoma"/>
            <family val="2"/>
          </rPr>
          <t>Offer MW submitted in Markets Gateway</t>
        </r>
      </text>
    </comment>
    <comment ref="C107" authorId="0" shapeId="0">
      <text>
        <r>
          <rPr>
            <sz val="9"/>
            <color indexed="81"/>
            <rFont val="Tahoma"/>
            <family val="2"/>
          </rPr>
          <t>MW of next Segment</t>
        </r>
      </text>
    </comment>
    <comment ref="B113" authorId="0" shapeId="0">
      <text>
        <r>
          <rPr>
            <sz val="9"/>
            <color indexed="81"/>
            <rFont val="Tahoma"/>
            <family val="2"/>
          </rPr>
          <t>Offer MW submitted in Markets Gateway</t>
        </r>
      </text>
    </comment>
    <comment ref="C113" authorId="0" shapeId="0">
      <text>
        <r>
          <rPr>
            <sz val="9"/>
            <color indexed="81"/>
            <rFont val="Tahoma"/>
            <family val="2"/>
          </rPr>
          <t>MW of next Segment</t>
        </r>
      </text>
    </comment>
    <comment ref="I113" authorId="0" shapeId="0">
      <text>
        <r>
          <rPr>
            <sz val="9"/>
            <color indexed="81"/>
            <rFont val="Tahoma"/>
            <family val="2"/>
          </rPr>
          <t>Offer MW submitted in Markets Gateway</t>
        </r>
      </text>
    </comment>
    <comment ref="J113" authorId="0" shapeId="0">
      <text>
        <r>
          <rPr>
            <sz val="9"/>
            <color indexed="81"/>
            <rFont val="Tahoma"/>
            <family val="2"/>
          </rPr>
          <t>MW of next Segment</t>
        </r>
      </text>
    </comment>
    <comment ref="P113" authorId="0" shapeId="0">
      <text>
        <r>
          <rPr>
            <sz val="9"/>
            <color indexed="81"/>
            <rFont val="Tahoma"/>
            <family val="2"/>
          </rPr>
          <t>Offer MW submitted in Markets Gateway</t>
        </r>
      </text>
    </comment>
    <comment ref="Q113" authorId="0" shapeId="0">
      <text>
        <r>
          <rPr>
            <sz val="9"/>
            <color indexed="81"/>
            <rFont val="Tahoma"/>
            <family val="2"/>
          </rPr>
          <t>MW of next Segment</t>
        </r>
      </text>
    </comment>
    <comment ref="W113" authorId="0" shapeId="0">
      <text>
        <r>
          <rPr>
            <sz val="9"/>
            <color indexed="81"/>
            <rFont val="Tahoma"/>
            <family val="2"/>
          </rPr>
          <t>Offer MW submitted in Markets Gateway</t>
        </r>
      </text>
    </comment>
    <comment ref="X113" authorId="0" shapeId="0">
      <text>
        <r>
          <rPr>
            <sz val="9"/>
            <color indexed="81"/>
            <rFont val="Tahoma"/>
            <family val="2"/>
          </rPr>
          <t>MW of next Segment</t>
        </r>
      </text>
    </comment>
    <comment ref="B221" authorId="0" shapeId="0">
      <text>
        <r>
          <rPr>
            <sz val="9"/>
            <color indexed="81"/>
            <rFont val="Tahoma"/>
            <family val="2"/>
          </rPr>
          <t>Offer MW submitted in Markets Gateway</t>
        </r>
      </text>
    </comment>
    <comment ref="C221" authorId="0" shapeId="0">
      <text>
        <r>
          <rPr>
            <sz val="9"/>
            <color indexed="81"/>
            <rFont val="Tahoma"/>
            <family val="2"/>
          </rPr>
          <t>MW of next Segment</t>
        </r>
      </text>
    </comment>
    <comment ref="B227" authorId="0" shapeId="0">
      <text>
        <r>
          <rPr>
            <sz val="9"/>
            <color indexed="81"/>
            <rFont val="Tahoma"/>
            <family val="2"/>
          </rPr>
          <t>Offer MW submitted in Markets Gateway</t>
        </r>
      </text>
    </comment>
    <comment ref="C227" authorId="0" shapeId="0">
      <text>
        <r>
          <rPr>
            <sz val="9"/>
            <color indexed="81"/>
            <rFont val="Tahoma"/>
            <family val="2"/>
          </rPr>
          <t>MW of next Segment</t>
        </r>
      </text>
    </comment>
    <comment ref="I227" authorId="0" shapeId="0">
      <text>
        <r>
          <rPr>
            <sz val="9"/>
            <color indexed="81"/>
            <rFont val="Tahoma"/>
            <family val="2"/>
          </rPr>
          <t>Offer MW submitted in Markets Gateway</t>
        </r>
      </text>
    </comment>
    <comment ref="J227" authorId="0" shapeId="0">
      <text>
        <r>
          <rPr>
            <sz val="9"/>
            <color indexed="81"/>
            <rFont val="Tahoma"/>
            <family val="2"/>
          </rPr>
          <t>MW of next Segment</t>
        </r>
      </text>
    </comment>
    <comment ref="P227" authorId="0" shapeId="0">
      <text>
        <r>
          <rPr>
            <sz val="9"/>
            <color indexed="81"/>
            <rFont val="Tahoma"/>
            <family val="2"/>
          </rPr>
          <t>Offer MW submitted in Markets Gateway</t>
        </r>
      </text>
    </comment>
    <comment ref="Q227" authorId="0" shapeId="0">
      <text>
        <r>
          <rPr>
            <sz val="9"/>
            <color indexed="81"/>
            <rFont val="Tahoma"/>
            <family val="2"/>
          </rPr>
          <t>MW of next Segment</t>
        </r>
      </text>
    </comment>
    <comment ref="W227" authorId="0" shapeId="0">
      <text>
        <r>
          <rPr>
            <sz val="9"/>
            <color indexed="81"/>
            <rFont val="Tahoma"/>
            <family val="2"/>
          </rPr>
          <t>Offer MW submitted in Markets Gateway</t>
        </r>
      </text>
    </comment>
    <comment ref="X227" authorId="0" shapeId="0">
      <text>
        <r>
          <rPr>
            <sz val="9"/>
            <color indexed="81"/>
            <rFont val="Tahoma"/>
            <family val="2"/>
          </rPr>
          <t>MW of next Segment</t>
        </r>
      </text>
    </comment>
  </commentList>
</comments>
</file>

<file path=xl/comments2.xml><?xml version="1.0" encoding="utf-8"?>
<comments xmlns="http://schemas.openxmlformats.org/spreadsheetml/2006/main">
  <authors>
    <author>SMK</author>
  </authors>
  <commentList>
    <comment ref="B4" authorId="0" shapeId="0">
      <text>
        <r>
          <rPr>
            <sz val="9"/>
            <color indexed="81"/>
            <rFont val="Tahoma"/>
            <family val="2"/>
          </rPr>
          <t>Offer MW submitted in Markets Gateway</t>
        </r>
      </text>
    </comment>
    <comment ref="C4" authorId="0" shapeId="0">
      <text>
        <r>
          <rPr>
            <sz val="9"/>
            <color indexed="81"/>
            <rFont val="Tahoma"/>
            <family val="2"/>
          </rPr>
          <t>MW of next Segment</t>
        </r>
      </text>
    </comment>
    <comment ref="B10" authorId="0" shapeId="0">
      <text>
        <r>
          <rPr>
            <sz val="9"/>
            <color indexed="81"/>
            <rFont val="Tahoma"/>
            <family val="2"/>
          </rPr>
          <t>Offer MW submitted in Markets Gateway</t>
        </r>
      </text>
    </comment>
    <comment ref="C10" authorId="0" shapeId="0">
      <text>
        <r>
          <rPr>
            <sz val="9"/>
            <color indexed="81"/>
            <rFont val="Tahoma"/>
            <family val="2"/>
          </rPr>
          <t>MW of next Segment</t>
        </r>
      </text>
    </comment>
    <comment ref="I10" authorId="0" shapeId="0">
      <text>
        <r>
          <rPr>
            <sz val="9"/>
            <color indexed="81"/>
            <rFont val="Tahoma"/>
            <family val="2"/>
          </rPr>
          <t>Offer MW submitted in Markets Gateway</t>
        </r>
      </text>
    </comment>
    <comment ref="J10" authorId="0" shapeId="0">
      <text>
        <r>
          <rPr>
            <sz val="9"/>
            <color indexed="81"/>
            <rFont val="Tahoma"/>
            <family val="2"/>
          </rPr>
          <t>MW of next Segment</t>
        </r>
      </text>
    </comment>
    <comment ref="P10" authorId="0" shapeId="0">
      <text>
        <r>
          <rPr>
            <sz val="9"/>
            <color indexed="81"/>
            <rFont val="Tahoma"/>
            <family val="2"/>
          </rPr>
          <t>Offer MW submitted in Markets Gateway</t>
        </r>
      </text>
    </comment>
    <comment ref="Q10" authorId="0" shapeId="0">
      <text>
        <r>
          <rPr>
            <sz val="9"/>
            <color indexed="81"/>
            <rFont val="Tahoma"/>
            <family val="2"/>
          </rPr>
          <t>MW of next Segment</t>
        </r>
      </text>
    </comment>
    <comment ref="W10" authorId="0" shapeId="0">
      <text>
        <r>
          <rPr>
            <sz val="9"/>
            <color indexed="81"/>
            <rFont val="Tahoma"/>
            <family val="2"/>
          </rPr>
          <t>Offer MW submitted in Markets Gateway</t>
        </r>
      </text>
    </comment>
    <comment ref="X10" authorId="0" shapeId="0">
      <text>
        <r>
          <rPr>
            <sz val="9"/>
            <color indexed="81"/>
            <rFont val="Tahoma"/>
            <family val="2"/>
          </rPr>
          <t>MW of next Segment</t>
        </r>
      </text>
    </comment>
    <comment ref="B112" authorId="0" shapeId="0">
      <text>
        <r>
          <rPr>
            <sz val="9"/>
            <color indexed="81"/>
            <rFont val="Tahoma"/>
            <family val="2"/>
          </rPr>
          <t>Offer MW submitted in Markets Gateway</t>
        </r>
      </text>
    </comment>
    <comment ref="C112" authorId="0" shapeId="0">
      <text>
        <r>
          <rPr>
            <sz val="9"/>
            <color indexed="81"/>
            <rFont val="Tahoma"/>
            <family val="2"/>
          </rPr>
          <t>MW of next Segment</t>
        </r>
      </text>
    </comment>
    <comment ref="B118" authorId="0" shapeId="0">
      <text>
        <r>
          <rPr>
            <sz val="9"/>
            <color indexed="81"/>
            <rFont val="Tahoma"/>
            <family val="2"/>
          </rPr>
          <t>Offer MW submitted in Markets Gateway</t>
        </r>
      </text>
    </comment>
    <comment ref="C118" authorId="0" shapeId="0">
      <text>
        <r>
          <rPr>
            <sz val="9"/>
            <color indexed="81"/>
            <rFont val="Tahoma"/>
            <family val="2"/>
          </rPr>
          <t>MW of next Segment</t>
        </r>
      </text>
    </comment>
    <comment ref="I118" authorId="0" shapeId="0">
      <text>
        <r>
          <rPr>
            <sz val="9"/>
            <color indexed="81"/>
            <rFont val="Tahoma"/>
            <family val="2"/>
          </rPr>
          <t>Offer MW submitted in Markets Gateway</t>
        </r>
      </text>
    </comment>
    <comment ref="J118" authorId="0" shapeId="0">
      <text>
        <r>
          <rPr>
            <sz val="9"/>
            <color indexed="81"/>
            <rFont val="Tahoma"/>
            <family val="2"/>
          </rPr>
          <t>MW of next Segment</t>
        </r>
      </text>
    </comment>
    <comment ref="P118" authorId="0" shapeId="0">
      <text>
        <r>
          <rPr>
            <sz val="9"/>
            <color indexed="81"/>
            <rFont val="Tahoma"/>
            <family val="2"/>
          </rPr>
          <t>Offer MW submitted in Markets Gateway</t>
        </r>
      </text>
    </comment>
    <comment ref="Q118" authorId="0" shapeId="0">
      <text>
        <r>
          <rPr>
            <sz val="9"/>
            <color indexed="81"/>
            <rFont val="Tahoma"/>
            <family val="2"/>
          </rPr>
          <t>MW of next Segment</t>
        </r>
      </text>
    </comment>
    <comment ref="W118" authorId="0" shapeId="0">
      <text>
        <r>
          <rPr>
            <sz val="9"/>
            <color indexed="81"/>
            <rFont val="Tahoma"/>
            <family val="2"/>
          </rPr>
          <t>Offer MW submitted in Markets Gateway</t>
        </r>
      </text>
    </comment>
    <comment ref="X118" authorId="0" shapeId="0">
      <text>
        <r>
          <rPr>
            <sz val="9"/>
            <color indexed="81"/>
            <rFont val="Tahoma"/>
            <family val="2"/>
          </rPr>
          <t>MW of next Segment</t>
        </r>
      </text>
    </comment>
  </commentList>
</comments>
</file>

<file path=xl/sharedStrings.xml><?xml version="1.0" encoding="utf-8"?>
<sst xmlns="http://schemas.openxmlformats.org/spreadsheetml/2006/main" count="789" uniqueCount="110">
  <si>
    <t>Offer</t>
  </si>
  <si>
    <t>DA OpRes</t>
  </si>
  <si>
    <t>Real-Time</t>
  </si>
  <si>
    <t>Bal OpRes @ Tracking Desired</t>
  </si>
  <si>
    <t>Bal OpRes @ Adj Tracking Desired</t>
  </si>
  <si>
    <t>DA Reserves</t>
  </si>
  <si>
    <t>RT Reserves Potential</t>
  </si>
  <si>
    <t>RT Reserves Actual</t>
  </si>
  <si>
    <t>Segment</t>
  </si>
  <si>
    <t>Begin MW</t>
  </si>
  <si>
    <t>End MW</t>
  </si>
  <si>
    <t>Price</t>
  </si>
  <si>
    <t>MW</t>
  </si>
  <si>
    <t>Begin Price</t>
  </si>
  <si>
    <t>End Price</t>
  </si>
  <si>
    <t>Begin
Price</t>
  </si>
  <si>
    <t>End
Price</t>
  </si>
  <si>
    <t>Begin
MW</t>
  </si>
  <si>
    <t>End
MW</t>
  </si>
  <si>
    <t>Real-Time MW Cost</t>
  </si>
  <si>
    <t>Tracking Desired MW Cost</t>
  </si>
  <si>
    <t>Economic Tracking Desired MW Cost</t>
  </si>
  <si>
    <t>Offer
Cost</t>
  </si>
  <si>
    <t>The following Data can be updated for Scenario Analysis</t>
  </si>
  <si>
    <t xml:space="preserve">Day-Ahead Operating Reserve </t>
  </si>
  <si>
    <t>Day-Ahead Reserves</t>
  </si>
  <si>
    <t>Real-Time Reserves Potential</t>
  </si>
  <si>
    <t>Real-Time Reserves Actual</t>
  </si>
  <si>
    <t>Day-ahead Information</t>
  </si>
  <si>
    <t>Columns</t>
  </si>
  <si>
    <t>Values</t>
  </si>
  <si>
    <t>DA Revenue (MW * LMP)</t>
  </si>
  <si>
    <t>Day-Ahead Clearing Price Credit</t>
  </si>
  <si>
    <t>Balancing Clearing Price Credit</t>
  </si>
  <si>
    <t>LMP</t>
  </si>
  <si>
    <t>Day-Ahead Spot Market Revenue</t>
  </si>
  <si>
    <t>Startup</t>
  </si>
  <si>
    <t>DA Opportunity Cost</t>
  </si>
  <si>
    <t>RT Opportunity Cost</t>
  </si>
  <si>
    <t>No-Load</t>
  </si>
  <si>
    <t>DA No-Load Cost</t>
  </si>
  <si>
    <t>Balancing Spot Market Revenue</t>
  </si>
  <si>
    <t>DA Economic Minimum</t>
  </si>
  <si>
    <t>DA Startup Cost</t>
  </si>
  <si>
    <t>DA Economic Maximum</t>
  </si>
  <si>
    <t>Balancing Opp Cost Credit</t>
  </si>
  <si>
    <t>Reserve Market Credit</t>
  </si>
  <si>
    <t>DA Net Revenue (Revenue - Cost)</t>
  </si>
  <si>
    <t>Real-time Information</t>
  </si>
  <si>
    <t>Day-Ahead Operating Reserve Credit</t>
  </si>
  <si>
    <t>Day-Ahead Profit</t>
  </si>
  <si>
    <t>Ancillary  Service  Credit</t>
  </si>
  <si>
    <t>Billed Net Revenue</t>
  </si>
  <si>
    <t>Actual RT MW</t>
  </si>
  <si>
    <t>Ancillary Service Revenue Above</t>
  </si>
  <si>
    <t>Tracking Desired MW</t>
  </si>
  <si>
    <t>Step 1</t>
  </si>
  <si>
    <t>Step 2</t>
  </si>
  <si>
    <t>Economic Tracking Desired</t>
  </si>
  <si>
    <t>Balancing Operating Reserves @ Tracking Desired</t>
  </si>
  <si>
    <t>Balancing Operating Reserves @ RT MW</t>
  </si>
  <si>
    <t>RT Economic Minimum</t>
  </si>
  <si>
    <t>RT Economic Maximum</t>
  </si>
  <si>
    <t>DA Reserve Opportunity Cost</t>
  </si>
  <si>
    <t>Reserve Data</t>
  </si>
  <si>
    <t>Balancing Revenue (Tracking Desired  - DA MW) * LMP)</t>
  </si>
  <si>
    <t>Balancing Revenue (RT MW  - DA MW) * LMP)</t>
  </si>
  <si>
    <t>RT No-Load Cost</t>
  </si>
  <si>
    <t>DA Reserve Assignment</t>
  </si>
  <si>
    <t>RT Reserve Opportunity Cost</t>
  </si>
  <si>
    <t>RT Startup Cost</t>
  </si>
  <si>
    <t>DA Market Clearing Price</t>
  </si>
  <si>
    <t>DA Backed Down Ind</t>
  </si>
  <si>
    <r>
      <t>Profit/</t>
    </r>
    <r>
      <rPr>
        <sz val="11"/>
        <color rgb="FFFF0000"/>
        <rFont val="Arial"/>
        <family val="2"/>
        <scheme val="minor"/>
      </rPr>
      <t>(Loss)</t>
    </r>
  </si>
  <si>
    <t>DA Reserve Max</t>
  </si>
  <si>
    <t>DA Desired</t>
  </si>
  <si>
    <t>Ancillary Service Revenue Above Cost</t>
  </si>
  <si>
    <t>Bal Net Revenue (Revenue - Cost)</t>
  </si>
  <si>
    <t>RT Reserve Assignment</t>
  </si>
  <si>
    <t>Bal Operating Reserve Credit</t>
  </si>
  <si>
    <t>RT Capped Assignment</t>
  </si>
  <si>
    <t>RT Market Clearing Price</t>
  </si>
  <si>
    <t>RT Backed Down Potential Ind</t>
  </si>
  <si>
    <t>RT Backed Down Ind</t>
  </si>
  <si>
    <t>RT Reserve Max</t>
  </si>
  <si>
    <t>RT Reserve Setpoint Potential</t>
  </si>
  <si>
    <t>Min of Step 1 and Step 2</t>
  </si>
  <si>
    <t>RT Reserve Setpoint</t>
  </si>
  <si>
    <t>Step 3:</t>
  </si>
  <si>
    <t>Balancing Operating Reserve Credit</t>
  </si>
  <si>
    <t>This is the Operating Reserve Credit, if the segment only contained this single interval.  The Operating Reserve Credit calculation generally contains multiple intervals within a segment.</t>
  </si>
  <si>
    <t>Market Revenue Neutrality</t>
  </si>
  <si>
    <t>PJM Bill Potential</t>
  </si>
  <si>
    <t>Profit/Loss Potential</t>
  </si>
  <si>
    <t>Market Revenue Neutralitiy</t>
  </si>
  <si>
    <t>PJM Bill Actual</t>
  </si>
  <si>
    <t>Profit/Loss Actual</t>
  </si>
  <si>
    <t>Market Revenue Neutrality Offset</t>
  </si>
  <si>
    <t>Opportunity Cost Owed</t>
  </si>
  <si>
    <t>Market Revenue Neutrality Disqualifier</t>
  </si>
  <si>
    <t>Profit Plus Opportunity Cost Owed</t>
  </si>
  <si>
    <t>Example 4:  Resource Providing RT &amp; DA Energy and RT &amp; DA Reserves Example (Less Reserves in RT)</t>
  </si>
  <si>
    <t>Example 3:  Resource Providing RT &amp; DA Energy and DA Reserves Example</t>
  </si>
  <si>
    <t>Example 1:  Resource Providing RT Energy and RT Reserves Example</t>
  </si>
  <si>
    <t>Example 2:  Resource Providing DA &amp; RT Energy and DA &amp; RT Reserves Example</t>
  </si>
  <si>
    <t>Resource not assigned energy or reserves in DA;  Tracking Desired = 70 MW energy &amp; 20 MW reserves in RT, but resource produces only 50 MW energy and  20 MW reserves in RT.</t>
  </si>
  <si>
    <t>Resource assigned 80 MW energy &amp; 20 MW reserves in DA; Tracking Desired =  70 MW energy &amp; 30 MW reserves in RT, but resource produces 80 MW energy and  20 MW reserves in RT.</t>
  </si>
  <si>
    <t>Lost Opportunity Cost Credit</t>
  </si>
  <si>
    <t>Resource assigned 80 MW energy &amp; 20 MW reserves in DA; Tracking Desired =  100 MW energy &amp; 0 MW reserves assigned in RT, but resource produces 95 MW energy in RT.</t>
  </si>
  <si>
    <t>Resource assigned 80 MW energy &amp; 20 MW reserves in DA; Tracking Desired =  85 MW energy &amp;  15 MW reserves assigned in RT.  Resource produces the Tracking Desired MW of 85 in RT and provides the 15 MW of reserves.  Reduction in reserve assignment is based on action taken by market seller.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</si>
</sst>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8" formatCode="&quot;$&quot;#,##0.00_);[Red]\(&quot;$&quot;#,##0.00\)"/>
    <numFmt numFmtId="44" formatCode="_(&quot;$&quot;* #,##0.00_);_(&quot;$&quot;* \(#,##0.00\);_(&quot;$&quot;* &quot;-&quot;??_);_(@_)"/>
    <numFmt numFmtId="164" formatCode="&quot;$&quot;#,##0.00_);[Red]\(&quot;$&quot;#,##0.00\);_(&quot;$&quot;&quot;-&quot;_)"/>
    <numFmt numFmtId="165" formatCode="&quot;$&quot;#,##0.00_);[Red]\(&quot;$&quot;#,##0.00\);_(&quot;$&quot;* &quot;-&quot;_)"/>
  </numFmts>
  <fonts count="13" x14ac:knownFonts="1">
    <font>
      <sz val="11"/>
      <color theme="1"/>
      <name val="Arial"/>
      <family val="2"/>
      <scheme val="minor"/>
    </font>
    <font>
      <sz val="11"/>
      <color theme="1"/>
      <name val="Arial"/>
      <family val="2"/>
      <scheme val="minor"/>
    </font>
    <font>
      <sz val="11"/>
      <color rgb="FFFF0000"/>
      <name val="Arial"/>
      <family val="2"/>
      <scheme val="minor"/>
    </font>
    <font>
      <b/>
      <sz val="11"/>
      <color theme="1"/>
      <name val="Arial"/>
      <family val="2"/>
      <scheme val="minor"/>
    </font>
    <font>
      <sz val="11"/>
      <color theme="0"/>
      <name val="Arial"/>
      <family val="2"/>
      <scheme val="minor"/>
    </font>
    <font>
      <sz val="16"/>
      <name val="Arial"/>
      <family val="2"/>
      <scheme val="minor"/>
    </font>
    <font>
      <i/>
      <sz val="8"/>
      <color theme="1"/>
      <name val="Arial"/>
      <family val="2"/>
      <scheme val="minor"/>
    </font>
    <font>
      <b/>
      <sz val="11"/>
      <name val="Arial"/>
      <family val="2"/>
      <scheme val="minor"/>
    </font>
    <font>
      <b/>
      <sz val="11"/>
      <color rgb="FF00B050"/>
      <name val="Arial"/>
      <family val="2"/>
      <scheme val="minor"/>
    </font>
    <font>
      <b/>
      <sz val="11"/>
      <color rgb="FFFF0000"/>
      <name val="Arial"/>
      <family val="2"/>
      <scheme val="minor"/>
    </font>
    <font>
      <sz val="11"/>
      <color rgb="FF00B050"/>
      <name val="Arial"/>
      <family val="2"/>
      <scheme val="minor"/>
    </font>
    <font>
      <sz val="9"/>
      <color indexed="81"/>
      <name val="Tahoma"/>
      <family val="2"/>
    </font>
    <font>
      <b/>
      <strike/>
      <sz val="11"/>
      <color theme="1"/>
      <name val="Arial"/>
      <family val="2"/>
      <scheme val="minor"/>
    </font>
  </fonts>
  <fills count="8">
    <fill>
      <patternFill patternType="none"/>
    </fill>
    <fill>
      <patternFill patternType="gray125"/>
    </fill>
    <fill>
      <patternFill patternType="solid">
        <fgColor theme="9"/>
      </patternFill>
    </fill>
    <fill>
      <patternFill patternType="solid">
        <fgColor theme="4" tint="0.79998168889431442"/>
        <bgColor indexed="64"/>
      </patternFill>
    </fill>
    <fill>
      <patternFill patternType="solid">
        <fgColor rgb="FFF8F8F8"/>
        <bgColor indexed="64"/>
      </patternFill>
    </fill>
    <fill>
      <patternFill patternType="solid">
        <fgColor rgb="FFFFFF00"/>
        <bgColor indexed="64"/>
      </patternFill>
    </fill>
    <fill>
      <patternFill patternType="solid">
        <fgColor theme="0" tint="-0.14999847407452621"/>
        <bgColor indexed="64"/>
      </patternFill>
    </fill>
    <fill>
      <patternFill patternType="solid">
        <fgColor theme="1" tint="0.34998626667073579"/>
        <bgColor indexed="64"/>
      </patternFill>
    </fill>
  </fills>
  <borders count="3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2" borderId="0" applyNumberFormat="0" applyBorder="0" applyAlignment="0" applyProtection="0"/>
  </cellStyleXfs>
  <cellXfs count="295">
    <xf numFmtId="0" fontId="0" fillId="0" borderId="0" xfId="0"/>
    <xf numFmtId="0" fontId="5" fillId="0" borderId="1" xfId="3" applyFont="1" applyFill="1" applyBorder="1" applyAlignment="1">
      <alignment horizontal="centerContinuous" wrapText="1"/>
    </xf>
    <xf numFmtId="0" fontId="5" fillId="0" borderId="0" xfId="3" applyFont="1" applyFill="1" applyBorder="1" applyAlignment="1">
      <alignment horizontal="centerContinuous" wrapText="1"/>
    </xf>
    <xf numFmtId="0" fontId="3" fillId="0" borderId="2" xfId="0" applyFont="1" applyBorder="1" applyAlignment="1">
      <alignment horizontal="centerContinuous" wrapText="1"/>
    </xf>
    <xf numFmtId="0" fontId="3" fillId="0" borderId="3" xfId="0" applyFont="1" applyBorder="1" applyAlignment="1">
      <alignment horizontal="centerContinuous" wrapText="1"/>
    </xf>
    <xf numFmtId="0" fontId="3" fillId="0" borderId="4" xfId="0" applyFont="1" applyBorder="1" applyAlignment="1">
      <alignment horizontal="centerContinuous" wrapText="1"/>
    </xf>
    <xf numFmtId="0" fontId="3" fillId="0" borderId="5" xfId="0" applyFont="1" applyBorder="1" applyAlignment="1">
      <alignment horizontal="centerContinuous"/>
    </xf>
    <xf numFmtId="0" fontId="3" fillId="0" borderId="6" xfId="0" applyFont="1" applyBorder="1" applyAlignment="1">
      <alignment horizontal="centerContinuous"/>
    </xf>
    <xf numFmtId="0" fontId="3" fillId="0" borderId="7" xfId="0" applyFont="1" applyBorder="1" applyAlignment="1">
      <alignment horizontal="centerContinuous"/>
    </xf>
    <xf numFmtId="0" fontId="3" fillId="0" borderId="2" xfId="0" applyFont="1" applyBorder="1" applyAlignment="1">
      <alignment horizontal="centerContinuous"/>
    </xf>
    <xf numFmtId="0" fontId="3" fillId="0" borderId="3" xfId="0" applyFont="1" applyBorder="1" applyAlignment="1">
      <alignment horizontal="centerContinuous"/>
    </xf>
    <xf numFmtId="0" fontId="3" fillId="0" borderId="4" xfId="0" applyFont="1" applyBorder="1" applyAlignment="1">
      <alignment horizontal="centerContinuous"/>
    </xf>
    <xf numFmtId="0" fontId="3" fillId="0" borderId="2" xfId="0" applyFont="1" applyBorder="1" applyAlignment="1">
      <alignment horizontal="center"/>
    </xf>
    <xf numFmtId="0" fontId="3" fillId="0" borderId="3" xfId="0" applyFont="1" applyBorder="1" applyAlignment="1">
      <alignment horizontal="center" wrapText="1"/>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2"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xf numFmtId="0" fontId="0" fillId="0" borderId="6" xfId="0" applyBorder="1"/>
    <xf numFmtId="164" fontId="0" fillId="0" borderId="7" xfId="0" applyNumberFormat="1" applyFill="1" applyBorder="1" applyAlignment="1">
      <alignment horizontal="centerContinuous"/>
    </xf>
    <xf numFmtId="0" fontId="0" fillId="0" borderId="5" xfId="1" applyNumberFormat="1" applyFont="1" applyBorder="1"/>
    <xf numFmtId="164" fontId="0" fillId="0" borderId="6" xfId="0" applyNumberFormat="1" applyFill="1" applyBorder="1" applyAlignment="1">
      <alignment horizontal="centerContinuous"/>
    </xf>
    <xf numFmtId="0" fontId="0" fillId="0" borderId="5" xfId="0" applyNumberFormat="1" applyFill="1" applyBorder="1" applyAlignment="1">
      <alignment horizontal="right"/>
    </xf>
    <xf numFmtId="0" fontId="0" fillId="0" borderId="5" xfId="0" applyBorder="1"/>
    <xf numFmtId="0" fontId="3" fillId="0" borderId="8" xfId="0" applyFont="1" applyBorder="1"/>
    <xf numFmtId="0" fontId="0" fillId="0" borderId="0" xfId="0" applyBorder="1"/>
    <xf numFmtId="164" fontId="0" fillId="0" borderId="9" xfId="0" applyNumberFormat="1" applyFill="1" applyBorder="1" applyAlignment="1">
      <alignment horizontal="centerContinuous"/>
    </xf>
    <xf numFmtId="0" fontId="0" fillId="0" borderId="8" xfId="1" applyNumberFormat="1" applyFont="1" applyBorder="1"/>
    <xf numFmtId="164" fontId="0" fillId="0" borderId="0" xfId="0" applyNumberFormat="1" applyFill="1" applyBorder="1" applyAlignment="1">
      <alignment horizontal="centerContinuous"/>
    </xf>
    <xf numFmtId="0" fontId="0" fillId="0" borderId="8" xfId="0" applyBorder="1"/>
    <xf numFmtId="0" fontId="3" fillId="0" borderId="10" xfId="0" applyFont="1" applyBorder="1"/>
    <xf numFmtId="0" fontId="0" fillId="0" borderId="11" xfId="0" applyBorder="1"/>
    <xf numFmtId="164" fontId="0" fillId="0" borderId="12" xfId="0" applyNumberFormat="1" applyFill="1" applyBorder="1" applyAlignment="1">
      <alignment horizontal="centerContinuous"/>
    </xf>
    <xf numFmtId="0" fontId="0" fillId="0" borderId="10" xfId="1" applyNumberFormat="1" applyFont="1" applyBorder="1"/>
    <xf numFmtId="164" fontId="0" fillId="0" borderId="11" xfId="0" applyNumberFormat="1" applyFill="1" applyBorder="1" applyAlignment="1">
      <alignment horizontal="centerContinuous"/>
    </xf>
    <xf numFmtId="0" fontId="0" fillId="0" borderId="10" xfId="0" applyBorder="1"/>
    <xf numFmtId="0" fontId="0" fillId="0" borderId="0" xfId="0" applyNumberFormat="1"/>
    <xf numFmtId="0" fontId="0" fillId="0" borderId="4" xfId="0" applyBorder="1" applyAlignment="1">
      <alignment horizontal="centerContinuous"/>
    </xf>
    <xf numFmtId="0" fontId="3" fillId="0" borderId="5" xfId="0" applyFont="1" applyBorder="1" applyAlignment="1">
      <alignment horizontal="center" wrapText="1"/>
    </xf>
    <xf numFmtId="0" fontId="0" fillId="0" borderId="7" xfId="0" applyBorder="1" applyAlignment="1">
      <alignment horizontal="centerContinuous"/>
    </xf>
    <xf numFmtId="0" fontId="3" fillId="0" borderId="5" xfId="1" applyNumberFormat="1" applyFont="1" applyBorder="1"/>
    <xf numFmtId="0" fontId="0" fillId="0" borderId="6" xfId="1" applyNumberFormat="1" applyFont="1" applyBorder="1"/>
    <xf numFmtId="0" fontId="0" fillId="0" borderId="9" xfId="0" applyBorder="1" applyAlignment="1">
      <alignment horizontal="centerContinuous"/>
    </xf>
    <xf numFmtId="0" fontId="3" fillId="0" borderId="8" xfId="1" applyNumberFormat="1" applyFont="1" applyBorder="1"/>
    <xf numFmtId="0" fontId="0" fillId="0" borderId="0" xfId="1" applyNumberFormat="1" applyFont="1" applyBorder="1"/>
    <xf numFmtId="7" fontId="0" fillId="0" borderId="11" xfId="1" applyNumberFormat="1" applyFont="1" applyBorder="1"/>
    <xf numFmtId="164" fontId="0" fillId="0" borderId="13" xfId="0" applyNumberFormat="1" applyFill="1" applyBorder="1" applyAlignment="1">
      <alignment horizontal="centerContinuous"/>
    </xf>
    <xf numFmtId="0" fontId="0" fillId="0" borderId="14" xfId="0" applyBorder="1" applyAlignment="1">
      <alignment horizontal="centerContinuous"/>
    </xf>
    <xf numFmtId="165" fontId="0" fillId="0" borderId="10" xfId="1" applyNumberFormat="1" applyFont="1" applyBorder="1"/>
    <xf numFmtId="165" fontId="0" fillId="0" borderId="11" xfId="1" applyNumberFormat="1" applyFont="1" applyBorder="1"/>
    <xf numFmtId="0" fontId="6" fillId="0" borderId="0" xfId="0" applyFont="1" applyAlignment="1">
      <alignment horizontal="centerContinuous"/>
    </xf>
    <xf numFmtId="0" fontId="0" fillId="0" borderId="0" xfId="0" applyAlignment="1">
      <alignment horizontal="centerContinuous"/>
    </xf>
    <xf numFmtId="0" fontId="0" fillId="0" borderId="0" xfId="0" applyAlignment="1"/>
    <xf numFmtId="0" fontId="7" fillId="0" borderId="4" xfId="0" applyFont="1" applyFill="1" applyBorder="1" applyAlignment="1">
      <alignment horizontal="centerContinuous" wrapText="1"/>
    </xf>
    <xf numFmtId="0" fontId="3" fillId="3" borderId="2" xfId="0" applyFont="1" applyFill="1" applyBorder="1" applyAlignment="1">
      <alignment horizontal="centerContinuous"/>
    </xf>
    <xf numFmtId="0" fontId="3" fillId="3" borderId="3" xfId="0" applyFont="1" applyFill="1" applyBorder="1" applyAlignment="1">
      <alignment horizontal="centerContinuous"/>
    </xf>
    <xf numFmtId="0" fontId="7" fillId="3" borderId="4" xfId="0" applyFont="1" applyFill="1" applyBorder="1" applyAlignment="1">
      <alignment horizontal="centerContinuous" wrapText="1"/>
    </xf>
    <xf numFmtId="0" fontId="3" fillId="3" borderId="15" xfId="0" applyFont="1" applyFill="1" applyBorder="1" applyAlignment="1">
      <alignment horizontal="centerContinuous"/>
    </xf>
    <xf numFmtId="0" fontId="3" fillId="0" borderId="5" xfId="0" applyFont="1" applyBorder="1" applyAlignment="1">
      <alignment horizontal="centerContinuous" vertical="distributed"/>
    </xf>
    <xf numFmtId="0" fontId="0" fillId="0" borderId="6" xfId="0" applyFont="1" applyBorder="1" applyAlignment="1">
      <alignment horizontal="centerContinuous" vertical="distributed"/>
    </xf>
    <xf numFmtId="0" fontId="0" fillId="0" borderId="7" xfId="0" applyFont="1" applyBorder="1" applyAlignment="1">
      <alignment horizontal="centerContinuous" vertical="distributed"/>
    </xf>
    <xf numFmtId="0" fontId="3" fillId="0" borderId="3" xfId="0" applyFont="1" applyFill="1" applyBorder="1" applyAlignment="1">
      <alignment horizontal="centerContinuous"/>
    </xf>
    <xf numFmtId="0" fontId="3" fillId="0" borderId="4" xfId="0" applyFont="1" applyFill="1" applyBorder="1" applyAlignment="1">
      <alignment horizontal="centerContinuous"/>
    </xf>
    <xf numFmtId="0" fontId="3" fillId="3" borderId="4" xfId="0" applyFont="1" applyFill="1" applyBorder="1" applyAlignment="1">
      <alignment horizontal="centerContinuous"/>
    </xf>
    <xf numFmtId="0" fontId="3" fillId="0" borderId="0" xfId="0" applyFont="1" applyFill="1" applyBorder="1" applyAlignment="1"/>
    <xf numFmtId="0" fontId="3" fillId="3" borderId="10" xfId="0" applyFont="1" applyFill="1" applyBorder="1" applyAlignment="1">
      <alignment horizontal="centerContinuous"/>
    </xf>
    <xf numFmtId="0" fontId="3" fillId="3" borderId="11" xfId="0" applyFont="1" applyFill="1" applyBorder="1" applyAlignment="1">
      <alignment horizontal="centerContinuous"/>
    </xf>
    <xf numFmtId="0" fontId="3" fillId="3" borderId="12" xfId="0" applyFont="1" applyFill="1" applyBorder="1" applyAlignment="1">
      <alignment horizontal="centerContinuous"/>
    </xf>
    <xf numFmtId="0" fontId="3" fillId="0" borderId="16" xfId="0" applyFont="1" applyBorder="1"/>
    <xf numFmtId="0" fontId="0" fillId="0" borderId="17" xfId="0" applyBorder="1"/>
    <xf numFmtId="0" fontId="0" fillId="4" borderId="18" xfId="0" applyNumberFormat="1" applyFill="1" applyBorder="1" applyAlignment="1">
      <alignment horizontal="centerContinuous"/>
    </xf>
    <xf numFmtId="0" fontId="0" fillId="0" borderId="19" xfId="0" applyBorder="1" applyAlignment="1">
      <alignment horizontal="centerContinuous"/>
    </xf>
    <xf numFmtId="0" fontId="0" fillId="0" borderId="5" xfId="0" applyBorder="1" applyAlignment="1">
      <alignment horizontal="centerContinuous" wrapText="1"/>
    </xf>
    <xf numFmtId="0" fontId="0" fillId="0" borderId="6" xfId="0" applyBorder="1" applyAlignment="1">
      <alignment horizontal="centerContinuous" wrapText="1"/>
    </xf>
    <xf numFmtId="0" fontId="0" fillId="0" borderId="7" xfId="0" applyFill="1" applyBorder="1" applyAlignment="1">
      <alignment horizontal="centerContinuous"/>
    </xf>
    <xf numFmtId="0" fontId="0" fillId="0" borderId="0" xfId="0" applyFill="1" applyBorder="1"/>
    <xf numFmtId="0" fontId="0" fillId="3" borderId="5" xfId="0" applyFill="1" applyBorder="1" applyAlignment="1">
      <alignment horizontal="centerContinuous" wrapText="1"/>
    </xf>
    <xf numFmtId="0" fontId="0" fillId="3" borderId="6" xfId="0" applyFill="1" applyBorder="1" applyAlignment="1">
      <alignment horizontal="centerContinuous" wrapText="1"/>
    </xf>
    <xf numFmtId="164" fontId="0" fillId="3" borderId="6" xfId="0" applyNumberFormat="1" applyFill="1" applyBorder="1" applyAlignment="1">
      <alignment horizontal="centerContinuous"/>
    </xf>
    <xf numFmtId="0" fontId="0" fillId="3" borderId="7" xfId="0" applyFill="1" applyBorder="1" applyAlignment="1">
      <alignment horizontal="centerContinuous"/>
    </xf>
    <xf numFmtId="0" fontId="0" fillId="3" borderId="6" xfId="0" applyFill="1" applyBorder="1" applyAlignment="1">
      <alignment horizontal="left"/>
    </xf>
    <xf numFmtId="164" fontId="0" fillId="3" borderId="7" xfId="0" applyNumberFormat="1" applyFill="1" applyBorder="1" applyAlignment="1">
      <alignment horizontal="centerContinuous"/>
    </xf>
    <xf numFmtId="0" fontId="3" fillId="0" borderId="20" xfId="0" applyFont="1" applyBorder="1"/>
    <xf numFmtId="0" fontId="0" fillId="0" borderId="21" xfId="0" applyBorder="1"/>
    <xf numFmtId="164" fontId="0" fillId="4" borderId="22" xfId="0" applyNumberFormat="1" applyFill="1" applyBorder="1" applyAlignment="1">
      <alignment horizontal="centerContinuous"/>
    </xf>
    <xf numFmtId="8" fontId="0" fillId="0" borderId="23" xfId="1" applyNumberFormat="1" applyFont="1" applyBorder="1" applyAlignment="1">
      <alignment horizontal="centerContinuous"/>
    </xf>
    <xf numFmtId="0" fontId="3" fillId="0" borderId="8" xfId="0" applyFont="1" applyBorder="1" applyAlignment="1">
      <alignment horizontal="centerContinuous"/>
    </xf>
    <xf numFmtId="0" fontId="3" fillId="0" borderId="0" xfId="0" applyFont="1" applyBorder="1" applyAlignment="1">
      <alignment horizontal="centerContinuous"/>
    </xf>
    <xf numFmtId="0" fontId="0" fillId="0" borderId="9" xfId="0" applyFill="1" applyBorder="1" applyAlignment="1">
      <alignment horizontal="centerContinuous"/>
    </xf>
    <xf numFmtId="0" fontId="0" fillId="3" borderId="8" xfId="0" applyFill="1" applyBorder="1" applyAlignment="1">
      <alignment horizontal="centerContinuous" wrapText="1"/>
    </xf>
    <xf numFmtId="0" fontId="3" fillId="3" borderId="0" xfId="0" applyFont="1" applyFill="1" applyBorder="1" applyAlignment="1">
      <alignment horizontal="centerContinuous"/>
    </xf>
    <xf numFmtId="164" fontId="0" fillId="3" borderId="0" xfId="0" applyNumberFormat="1" applyFill="1" applyBorder="1" applyAlignment="1">
      <alignment horizontal="centerContinuous"/>
    </xf>
    <xf numFmtId="0" fontId="0" fillId="3" borderId="9" xfId="0" applyFill="1" applyBorder="1" applyAlignment="1">
      <alignment horizontal="centerContinuous"/>
    </xf>
    <xf numFmtId="0" fontId="0" fillId="0" borderId="0" xfId="0" applyFill="1" applyBorder="1" applyAlignment="1"/>
    <xf numFmtId="164" fontId="0" fillId="3" borderId="9" xfId="0" applyNumberFormat="1" applyFill="1" applyBorder="1" applyAlignment="1">
      <alignment horizontal="centerContinuous"/>
    </xf>
    <xf numFmtId="0" fontId="0" fillId="0" borderId="8" xfId="0" applyBorder="1" applyAlignment="1">
      <alignment horizontal="centerContinuous" wrapText="1"/>
    </xf>
    <xf numFmtId="0" fontId="0" fillId="0" borderId="0" xfId="0" applyBorder="1" applyAlignment="1">
      <alignment horizontal="centerContinuous" wrapText="1"/>
    </xf>
    <xf numFmtId="0" fontId="0" fillId="3" borderId="0" xfId="0" applyFill="1" applyBorder="1" applyAlignment="1">
      <alignment horizontal="centerContinuous" wrapText="1"/>
    </xf>
    <xf numFmtId="0" fontId="0" fillId="3" borderId="8" xfId="0" applyFill="1" applyBorder="1" applyAlignment="1">
      <alignment horizontal="left"/>
    </xf>
    <xf numFmtId="0" fontId="0" fillId="3" borderId="0" xfId="0" applyFill="1" applyBorder="1" applyAlignment="1">
      <alignment horizontal="left"/>
    </xf>
    <xf numFmtId="44" fontId="0" fillId="0" borderId="0" xfId="0" applyNumberFormat="1"/>
    <xf numFmtId="0" fontId="3" fillId="3" borderId="8" xfId="0" applyFont="1" applyFill="1" applyBorder="1" applyAlignment="1">
      <alignment horizontal="centerContinuous"/>
    </xf>
    <xf numFmtId="0" fontId="3" fillId="0" borderId="20" xfId="0" applyFont="1" applyBorder="1" applyAlignment="1">
      <alignment horizontal="centerContinuous"/>
    </xf>
    <xf numFmtId="0" fontId="0" fillId="0" borderId="21" xfId="0" applyBorder="1" applyAlignment="1">
      <alignment horizontal="centerContinuous"/>
    </xf>
    <xf numFmtId="0" fontId="0" fillId="4" borderId="25" xfId="0" applyFill="1" applyBorder="1" applyAlignment="1">
      <alignment horizontal="centerContinuous"/>
    </xf>
    <xf numFmtId="0" fontId="0" fillId="0" borderId="23" xfId="0" applyBorder="1" applyAlignment="1">
      <alignment horizontal="centerContinuous"/>
    </xf>
    <xf numFmtId="0" fontId="3" fillId="0" borderId="26" xfId="0" applyFont="1" applyBorder="1" applyAlignment="1">
      <alignment horizontal="centerContinuous"/>
    </xf>
    <xf numFmtId="0" fontId="0" fillId="0" borderId="27" xfId="0" applyBorder="1" applyAlignment="1">
      <alignment horizontal="centerContinuous"/>
    </xf>
    <xf numFmtId="0" fontId="0" fillId="4" borderId="28" xfId="0" applyFill="1" applyBorder="1" applyAlignment="1">
      <alignment horizontal="centerContinuous"/>
    </xf>
    <xf numFmtId="0" fontId="0" fillId="0" borderId="13" xfId="0" applyBorder="1" applyAlignment="1">
      <alignment horizontal="centerContinuous"/>
    </xf>
    <xf numFmtId="164" fontId="0" fillId="3" borderId="9" xfId="0" applyNumberFormat="1" applyFont="1" applyFill="1" applyBorder="1" applyAlignment="1">
      <alignment horizontal="centerContinuous"/>
    </xf>
    <xf numFmtId="164" fontId="0" fillId="0" borderId="29" xfId="0" applyNumberFormat="1" applyFill="1" applyBorder="1" applyAlignment="1">
      <alignment horizontal="centerContinuous"/>
    </xf>
    <xf numFmtId="0" fontId="0" fillId="0" borderId="24" xfId="0" applyFill="1" applyBorder="1" applyAlignment="1">
      <alignment horizontal="centerContinuous"/>
    </xf>
    <xf numFmtId="0" fontId="3" fillId="0" borderId="6" xfId="0" applyFont="1" applyBorder="1" applyAlignment="1">
      <alignment horizontal="centerContinuous" vertical="distributed"/>
    </xf>
    <xf numFmtId="0" fontId="0" fillId="0" borderId="7" xfId="0" applyBorder="1" applyAlignment="1">
      <alignment horizontal="centerContinuous" vertical="distributed"/>
    </xf>
    <xf numFmtId="164" fontId="0" fillId="0" borderId="30" xfId="0" applyNumberFormat="1" applyFill="1" applyBorder="1" applyAlignment="1">
      <alignment horizontal="centerContinuous"/>
    </xf>
    <xf numFmtId="0" fontId="0" fillId="0" borderId="31" xfId="0" applyFill="1" applyBorder="1" applyAlignment="1">
      <alignment horizontal="centerContinuous"/>
    </xf>
    <xf numFmtId="164" fontId="0" fillId="3" borderId="30" xfId="0" applyNumberFormat="1" applyFill="1" applyBorder="1" applyAlignment="1">
      <alignment horizontal="centerContinuous"/>
    </xf>
    <xf numFmtId="0" fontId="0" fillId="3" borderId="31" xfId="0" applyFill="1" applyBorder="1" applyAlignment="1">
      <alignment horizontal="centerContinuous"/>
    </xf>
    <xf numFmtId="164" fontId="0" fillId="3" borderId="31" xfId="0" applyNumberFormat="1" applyFill="1" applyBorder="1" applyAlignment="1">
      <alignment horizontal="centerContinuous"/>
    </xf>
    <xf numFmtId="0" fontId="0" fillId="0" borderId="0" xfId="0" applyBorder="1" applyAlignment="1">
      <alignment horizontal="centerContinuous"/>
    </xf>
    <xf numFmtId="0" fontId="0" fillId="0" borderId="0" xfId="0" applyNumberFormat="1" applyFill="1" applyBorder="1" applyAlignment="1">
      <alignment horizontal="centerContinuous"/>
    </xf>
    <xf numFmtId="0" fontId="3" fillId="0" borderId="10" xfId="0" applyFont="1" applyBorder="1" applyAlignment="1">
      <alignment horizontal="centerContinuous"/>
    </xf>
    <xf numFmtId="0" fontId="3" fillId="0" borderId="11" xfId="0" applyFont="1" applyBorder="1" applyAlignment="1">
      <alignment horizontal="centerContinuous"/>
    </xf>
    <xf numFmtId="0" fontId="0" fillId="0" borderId="12" xfId="0" applyFill="1" applyBorder="1" applyAlignment="1">
      <alignment horizontal="centerContinuous"/>
    </xf>
    <xf numFmtId="164" fontId="0" fillId="3" borderId="11" xfId="0" applyNumberFormat="1" applyFill="1" applyBorder="1" applyAlignment="1">
      <alignment horizontal="centerContinuous"/>
    </xf>
    <xf numFmtId="0" fontId="0" fillId="3" borderId="12" xfId="0" applyFill="1" applyBorder="1" applyAlignment="1">
      <alignment horizontal="centerContinuous"/>
    </xf>
    <xf numFmtId="164" fontId="0" fillId="3" borderId="12" xfId="0" applyNumberFormat="1" applyFill="1" applyBorder="1" applyAlignment="1">
      <alignment horizontal="centerContinuous"/>
    </xf>
    <xf numFmtId="44" fontId="0" fillId="0" borderId="0" xfId="1" applyFont="1" applyBorder="1"/>
    <xf numFmtId="8" fontId="0" fillId="0" borderId="9" xfId="1" applyNumberFormat="1" applyFont="1" applyBorder="1" applyAlignment="1">
      <alignment horizontal="centerContinuous"/>
    </xf>
    <xf numFmtId="0" fontId="3" fillId="0" borderId="0" xfId="0" applyFont="1" applyBorder="1"/>
    <xf numFmtId="0" fontId="0" fillId="0" borderId="5" xfId="0" applyBorder="1" applyAlignment="1">
      <alignment horizontal="centerContinuous"/>
    </xf>
    <xf numFmtId="0" fontId="0" fillId="0" borderId="6" xfId="0" applyBorder="1" applyAlignment="1">
      <alignment horizontal="centerContinuous"/>
    </xf>
    <xf numFmtId="44" fontId="0" fillId="0" borderId="7" xfId="0" applyNumberFormat="1" applyFont="1" applyFill="1" applyBorder="1" applyAlignment="1">
      <alignment horizontal="centerContinuous"/>
    </xf>
    <xf numFmtId="8" fontId="0" fillId="0" borderId="0" xfId="0" applyNumberFormat="1"/>
    <xf numFmtId="44" fontId="0" fillId="0" borderId="9" xfId="0" applyNumberFormat="1" applyFont="1" applyFill="1" applyBorder="1" applyAlignment="1">
      <alignment horizontal="centerContinuous"/>
    </xf>
    <xf numFmtId="0" fontId="0" fillId="0" borderId="11" xfId="0" applyBorder="1" applyAlignment="1">
      <alignment horizontal="centerContinuous"/>
    </xf>
    <xf numFmtId="0" fontId="0" fillId="0" borderId="11" xfId="0" applyNumberFormat="1" applyFill="1" applyBorder="1" applyAlignment="1">
      <alignment horizontal="centerContinuous"/>
    </xf>
    <xf numFmtId="0" fontId="0" fillId="0" borderId="12" xfId="0" applyBorder="1" applyAlignment="1">
      <alignment horizontal="centerContinuous"/>
    </xf>
    <xf numFmtId="0" fontId="3" fillId="5" borderId="8" xfId="0" applyFont="1" applyFill="1" applyBorder="1" applyAlignment="1">
      <alignment horizontal="centerContinuous"/>
    </xf>
    <xf numFmtId="0" fontId="3" fillId="5" borderId="0" xfId="0" applyFont="1" applyFill="1" applyBorder="1" applyAlignment="1">
      <alignment horizontal="centerContinuous"/>
    </xf>
    <xf numFmtId="164" fontId="0" fillId="0" borderId="0" xfId="0" applyNumberFormat="1" applyFill="1" applyBorder="1" applyAlignment="1"/>
    <xf numFmtId="164" fontId="0" fillId="0" borderId="0" xfId="0" applyNumberFormat="1"/>
    <xf numFmtId="0" fontId="3" fillId="0" borderId="0" xfId="0" applyFont="1" applyFill="1" applyBorder="1" applyAlignment="1">
      <alignment horizontal="centerContinuous"/>
    </xf>
    <xf numFmtId="164" fontId="0" fillId="3" borderId="0" xfId="0" applyNumberFormat="1" applyFont="1" applyFill="1" applyBorder="1" applyAlignment="1">
      <alignment horizontal="centerContinuous"/>
    </xf>
    <xf numFmtId="0" fontId="0" fillId="3" borderId="9" xfId="0" applyFont="1" applyFill="1" applyBorder="1" applyAlignment="1">
      <alignment horizontal="centerContinuous"/>
    </xf>
    <xf numFmtId="0" fontId="3" fillId="0" borderId="0" xfId="0" applyFont="1"/>
    <xf numFmtId="0" fontId="0" fillId="0" borderId="0" xfId="0" applyBorder="1" applyAlignment="1">
      <alignment horizontal="centerContinuous" wrapText="1" readingOrder="1"/>
    </xf>
    <xf numFmtId="0" fontId="0" fillId="0" borderId="8" xfId="0" applyBorder="1" applyAlignment="1">
      <alignment horizontal="centerContinuous" wrapText="1" readingOrder="1"/>
    </xf>
    <xf numFmtId="44" fontId="0" fillId="0" borderId="24" xfId="0" applyNumberFormat="1" applyFont="1" applyFill="1" applyBorder="1" applyAlignment="1">
      <alignment horizontal="centerContinuous"/>
    </xf>
    <xf numFmtId="44" fontId="0" fillId="0" borderId="31" xfId="0" applyNumberFormat="1" applyFont="1" applyFill="1" applyBorder="1" applyAlignment="1">
      <alignment horizontal="centerContinuous"/>
    </xf>
    <xf numFmtId="8" fontId="3" fillId="0" borderId="0" xfId="0" applyNumberFormat="1" applyFont="1" applyBorder="1" applyAlignment="1">
      <alignment horizontal="centerContinuous"/>
    </xf>
    <xf numFmtId="44" fontId="0" fillId="0" borderId="12" xfId="0" applyNumberFormat="1" applyFont="1" applyFill="1" applyBorder="1" applyAlignment="1">
      <alignment horizontal="centerContinuous"/>
    </xf>
    <xf numFmtId="44" fontId="0" fillId="0" borderId="12" xfId="1" applyFont="1" applyFill="1" applyBorder="1"/>
    <xf numFmtId="0" fontId="0" fillId="0" borderId="0" xfId="0" applyBorder="1" applyAlignment="1"/>
    <xf numFmtId="0" fontId="10" fillId="0" borderId="0" xfId="0" applyFont="1" applyAlignment="1">
      <alignment horizontal="centerContinuous"/>
    </xf>
    <xf numFmtId="0" fontId="9" fillId="0" borderId="0" xfId="0" applyFont="1" applyAlignment="1">
      <alignment horizontal="centerContinuous"/>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Continuous" vertical="distributed" wrapText="1"/>
    </xf>
    <xf numFmtId="0" fontId="0" fillId="0" borderId="0" xfId="0" applyAlignment="1">
      <alignment horizontal="centerContinuous" vertical="distributed"/>
    </xf>
    <xf numFmtId="0" fontId="0" fillId="0" borderId="0" xfId="0" applyAlignment="1">
      <alignment vertical="top" wrapText="1"/>
    </xf>
    <xf numFmtId="0" fontId="0" fillId="0" borderId="0" xfId="0" applyAlignment="1">
      <alignment vertical="top"/>
    </xf>
    <xf numFmtId="0" fontId="0" fillId="3" borderId="8" xfId="0" applyFont="1" applyFill="1" applyBorder="1" applyAlignment="1">
      <alignment horizontal="left"/>
    </xf>
    <xf numFmtId="0" fontId="3" fillId="0" borderId="0" xfId="0" applyFont="1" applyBorder="1" applyAlignment="1">
      <alignment horizontal="left"/>
    </xf>
    <xf numFmtId="0" fontId="3" fillId="0" borderId="8" xfId="0" applyFont="1" applyBorder="1" applyAlignment="1">
      <alignment horizontal="left"/>
    </xf>
    <xf numFmtId="0" fontId="3" fillId="0" borderId="10" xfId="0" applyFont="1" applyBorder="1" applyAlignment="1">
      <alignment horizontal="left"/>
    </xf>
    <xf numFmtId="0" fontId="0" fillId="0" borderId="0" xfId="0" applyFill="1" applyBorder="1" applyAlignment="1">
      <alignment horizontal="centerContinuous" wrapText="1"/>
    </xf>
    <xf numFmtId="0" fontId="0" fillId="0" borderId="0" xfId="0" applyFill="1" applyBorder="1" applyAlignment="1">
      <alignment horizontal="centerContinuous"/>
    </xf>
    <xf numFmtId="8" fontId="0" fillId="3" borderId="30" xfId="0" applyNumberFormat="1" applyFill="1" applyBorder="1" applyAlignment="1">
      <alignment horizontal="centerContinuous" wrapText="1"/>
    </xf>
    <xf numFmtId="0" fontId="0" fillId="3" borderId="0" xfId="0" applyFont="1" applyFill="1" applyBorder="1" applyAlignment="1">
      <alignment horizontal="centerContinuous" wrapText="1"/>
    </xf>
    <xf numFmtId="0" fontId="7" fillId="0" borderId="0" xfId="0" applyFont="1" applyFill="1" applyBorder="1" applyAlignment="1">
      <alignment wrapText="1"/>
    </xf>
    <xf numFmtId="0" fontId="0" fillId="0" borderId="0" xfId="0" applyAlignment="1">
      <alignment horizontal="centerContinuous" vertical="top" wrapText="1"/>
    </xf>
    <xf numFmtId="0" fontId="0" fillId="0" borderId="0" xfId="0" applyFill="1" applyBorder="1" applyAlignment="1">
      <alignment wrapText="1"/>
    </xf>
    <xf numFmtId="164" fontId="0" fillId="0" borderId="0" xfId="0" applyNumberFormat="1" applyFont="1" applyFill="1" applyBorder="1" applyAlignment="1"/>
    <xf numFmtId="0" fontId="0" fillId="3" borderId="12" xfId="0" applyFill="1" applyBorder="1" applyAlignment="1"/>
    <xf numFmtId="0" fontId="0" fillId="3" borderId="8" xfId="0" applyFill="1" applyBorder="1" applyAlignment="1">
      <alignment horizontal="centerContinuous"/>
    </xf>
    <xf numFmtId="0" fontId="0" fillId="3" borderId="0" xfId="0" applyFill="1" applyBorder="1" applyAlignment="1">
      <alignment horizontal="left" wrapText="1"/>
    </xf>
    <xf numFmtId="0" fontId="3" fillId="3" borderId="0" xfId="0" applyFont="1" applyFill="1" applyBorder="1" applyAlignment="1">
      <alignment horizontal="left"/>
    </xf>
    <xf numFmtId="0" fontId="0" fillId="3" borderId="5" xfId="0" applyFill="1" applyBorder="1" applyAlignment="1"/>
    <xf numFmtId="0" fontId="0" fillId="3" borderId="8" xfId="0" applyFill="1" applyBorder="1" applyAlignment="1">
      <alignment wrapText="1"/>
    </xf>
    <xf numFmtId="0" fontId="0" fillId="3" borderId="8" xfId="0" applyFill="1" applyBorder="1" applyAlignment="1"/>
    <xf numFmtId="0" fontId="0" fillId="3" borderId="8" xfId="0" applyFont="1" applyFill="1" applyBorder="1" applyAlignment="1"/>
    <xf numFmtId="0" fontId="3" fillId="3" borderId="8" xfId="0" applyFont="1" applyFill="1" applyBorder="1" applyAlignment="1"/>
    <xf numFmtId="0" fontId="0" fillId="3" borderId="5" xfId="0" applyFill="1" applyBorder="1" applyAlignment="1">
      <alignment horizontal="centerContinuous"/>
    </xf>
    <xf numFmtId="0" fontId="3" fillId="3" borderId="10" xfId="0" applyFont="1" applyFill="1" applyBorder="1" applyAlignment="1"/>
    <xf numFmtId="0" fontId="0" fillId="0" borderId="7" xfId="0" applyBorder="1"/>
    <xf numFmtId="0" fontId="0" fillId="0" borderId="8" xfId="0" applyFont="1" applyBorder="1" applyAlignment="1">
      <alignment horizontal="left"/>
    </xf>
    <xf numFmtId="9" fontId="0" fillId="0" borderId="0" xfId="2" applyFont="1" applyBorder="1" applyAlignment="1">
      <alignment horizontal="centerContinuous"/>
    </xf>
    <xf numFmtId="0" fontId="0" fillId="0" borderId="8" xfId="0" applyFont="1" applyBorder="1"/>
    <xf numFmtId="8" fontId="0" fillId="0" borderId="0" xfId="0" applyNumberFormat="1" applyBorder="1"/>
    <xf numFmtId="8" fontId="0" fillId="0" borderId="11" xfId="0" applyNumberFormat="1" applyBorder="1"/>
    <xf numFmtId="8" fontId="0" fillId="0" borderId="6" xfId="0" applyNumberFormat="1" applyBorder="1"/>
    <xf numFmtId="8" fontId="0" fillId="0" borderId="0" xfId="0" applyNumberFormat="1" applyBorder="1" applyAlignment="1">
      <alignment horizontal="centerContinuous"/>
    </xf>
    <xf numFmtId="0" fontId="3" fillId="5" borderId="8" xfId="0" applyFont="1" applyFill="1" applyBorder="1"/>
    <xf numFmtId="0" fontId="0" fillId="5" borderId="0" xfId="0" applyFill="1" applyBorder="1"/>
    <xf numFmtId="0" fontId="0" fillId="5" borderId="0" xfId="0" applyFill="1" applyBorder="1" applyAlignment="1">
      <alignment horizontal="centerContinuous"/>
    </xf>
    <xf numFmtId="0" fontId="0" fillId="5" borderId="9" xfId="0" applyFill="1" applyBorder="1" applyAlignment="1">
      <alignment horizontal="centerContinuous"/>
    </xf>
    <xf numFmtId="0" fontId="0" fillId="0" borderId="0" xfId="0" applyFill="1" applyAlignment="1">
      <alignment horizontal="centerContinuous"/>
    </xf>
    <xf numFmtId="0" fontId="0" fillId="0" borderId="0" xfId="0" applyFill="1"/>
    <xf numFmtId="0" fontId="0" fillId="5" borderId="0" xfId="0" applyFill="1" applyBorder="1" applyAlignment="1">
      <alignment horizontal="centerContinuous" wrapText="1"/>
    </xf>
    <xf numFmtId="7" fontId="0" fillId="0" borderId="0" xfId="1" applyNumberFormat="1" applyFont="1" applyBorder="1"/>
    <xf numFmtId="165" fontId="0" fillId="0" borderId="0" xfId="1" applyNumberFormat="1" applyFont="1" applyBorder="1"/>
    <xf numFmtId="0" fontId="0" fillId="0" borderId="0" xfId="0" applyFont="1" applyBorder="1" applyAlignment="1">
      <alignment vertical="distributed"/>
    </xf>
    <xf numFmtId="8" fontId="0" fillId="0" borderId="0" xfId="1" applyNumberFormat="1" applyFont="1" applyBorder="1" applyAlignment="1"/>
    <xf numFmtId="44" fontId="0" fillId="0" borderId="0" xfId="0" applyNumberFormat="1" applyAlignment="1"/>
    <xf numFmtId="0" fontId="0" fillId="0" borderId="0" xfId="0" applyBorder="1" applyAlignment="1">
      <alignment vertical="distributed"/>
    </xf>
    <xf numFmtId="0" fontId="0" fillId="0" borderId="0" xfId="0" applyFill="1" applyAlignment="1"/>
    <xf numFmtId="0" fontId="0" fillId="6" borderId="0" xfId="0" applyFill="1" applyBorder="1"/>
    <xf numFmtId="0" fontId="0" fillId="6" borderId="9" xfId="0" applyFill="1" applyBorder="1"/>
    <xf numFmtId="8" fontId="0" fillId="6" borderId="0" xfId="0" applyNumberFormat="1" applyFill="1" applyBorder="1"/>
    <xf numFmtId="0" fontId="0" fillId="6" borderId="0" xfId="0" applyFill="1" applyBorder="1" applyAlignment="1"/>
    <xf numFmtId="0" fontId="0" fillId="6" borderId="11" xfId="0" applyFill="1" applyBorder="1"/>
    <xf numFmtId="0" fontId="0" fillId="6" borderId="12" xfId="0" applyFill="1" applyBorder="1"/>
    <xf numFmtId="0" fontId="0" fillId="6" borderId="7" xfId="0" applyFill="1" applyBorder="1"/>
    <xf numFmtId="0" fontId="3" fillId="6" borderId="9" xfId="0" applyFont="1" applyFill="1" applyBorder="1" applyAlignment="1"/>
    <xf numFmtId="164" fontId="0" fillId="6" borderId="9" xfId="0" applyNumberFormat="1" applyFill="1" applyBorder="1" applyAlignment="1"/>
    <xf numFmtId="164" fontId="0" fillId="6" borderId="9" xfId="0" applyNumberFormat="1" applyFont="1" applyFill="1" applyBorder="1" applyAlignment="1"/>
    <xf numFmtId="0" fontId="0" fillId="6" borderId="5" xfId="0" applyFill="1" applyBorder="1"/>
    <xf numFmtId="0" fontId="0" fillId="6" borderId="6" xfId="0" applyFill="1" applyBorder="1"/>
    <xf numFmtId="0" fontId="7" fillId="6" borderId="0" xfId="0" applyFont="1" applyFill="1" applyBorder="1" applyAlignment="1">
      <alignment wrapText="1"/>
    </xf>
    <xf numFmtId="0" fontId="3" fillId="6" borderId="0" xfId="0" applyFont="1" applyFill="1" applyBorder="1" applyAlignment="1"/>
    <xf numFmtId="164" fontId="0" fillId="6" borderId="0" xfId="0" applyNumberFormat="1" applyFill="1" applyBorder="1"/>
    <xf numFmtId="0" fontId="8" fillId="6" borderId="0" xfId="0" applyFont="1" applyFill="1" applyBorder="1" applyAlignment="1">
      <alignment horizontal="centerContinuous"/>
    </xf>
    <xf numFmtId="0" fontId="0" fillId="6" borderId="8" xfId="0" applyFill="1" applyBorder="1"/>
    <xf numFmtId="44" fontId="0" fillId="6" borderId="0" xfId="0" applyNumberFormat="1" applyFill="1" applyBorder="1"/>
    <xf numFmtId="0" fontId="7" fillId="6" borderId="8" xfId="0" applyFont="1" applyFill="1" applyBorder="1" applyAlignment="1">
      <alignment horizontal="center" wrapText="1"/>
    </xf>
    <xf numFmtId="0" fontId="3" fillId="6" borderId="8" xfId="0" applyFont="1" applyFill="1" applyBorder="1" applyAlignment="1">
      <alignment horizontal="center"/>
    </xf>
    <xf numFmtId="44" fontId="0" fillId="6" borderId="8" xfId="0" applyNumberFormat="1" applyFill="1" applyBorder="1"/>
    <xf numFmtId="8" fontId="8" fillId="6" borderId="8" xfId="0" applyNumberFormat="1" applyFont="1" applyFill="1" applyBorder="1" applyAlignment="1"/>
    <xf numFmtId="8" fontId="3" fillId="6" borderId="8" xfId="0" applyNumberFormat="1" applyFont="1" applyFill="1" applyBorder="1" applyAlignment="1"/>
    <xf numFmtId="0" fontId="0" fillId="6" borderId="8" xfId="0" applyFill="1" applyBorder="1" applyAlignment="1"/>
    <xf numFmtId="164" fontId="0" fillId="6" borderId="8" xfId="0" applyNumberFormat="1" applyFill="1" applyBorder="1" applyAlignment="1"/>
    <xf numFmtId="8" fontId="0" fillId="6" borderId="8" xfId="0" applyNumberFormat="1" applyFont="1" applyFill="1" applyBorder="1"/>
    <xf numFmtId="8" fontId="0" fillId="6" borderId="8" xfId="0" applyNumberFormat="1" applyFill="1" applyBorder="1" applyAlignment="1"/>
    <xf numFmtId="8" fontId="0" fillId="6" borderId="8" xfId="0" applyNumberFormat="1" applyFill="1" applyBorder="1"/>
    <xf numFmtId="164" fontId="0" fillId="6" borderId="8" xfId="1" applyNumberFormat="1" applyFont="1" applyFill="1" applyBorder="1"/>
    <xf numFmtId="8" fontId="9" fillId="6" borderId="10" xfId="0" applyNumberFormat="1" applyFont="1" applyFill="1" applyBorder="1"/>
    <xf numFmtId="0" fontId="0" fillId="6" borderId="11" xfId="0" applyFill="1" applyBorder="1" applyAlignment="1"/>
    <xf numFmtId="8" fontId="0" fillId="6" borderId="11" xfId="0" applyNumberFormat="1" applyFill="1" applyBorder="1"/>
    <xf numFmtId="0" fontId="8" fillId="0" borderId="2" xfId="0" applyFont="1" applyBorder="1" applyAlignment="1">
      <alignment horizontal="centerContinuous"/>
    </xf>
    <xf numFmtId="0" fontId="8" fillId="0" borderId="3" xfId="0" applyFont="1" applyBorder="1" applyAlignment="1">
      <alignment horizontal="centerContinuous"/>
    </xf>
    <xf numFmtId="0" fontId="8" fillId="0" borderId="4" xfId="0" applyFont="1" applyBorder="1" applyAlignment="1">
      <alignment horizontal="centerContinuous"/>
    </xf>
    <xf numFmtId="0" fontId="0" fillId="7" borderId="5" xfId="0" applyFill="1" applyBorder="1"/>
    <xf numFmtId="0" fontId="0" fillId="7" borderId="6" xfId="0" applyFill="1" applyBorder="1"/>
    <xf numFmtId="0" fontId="0" fillId="7" borderId="7" xfId="0" applyFill="1" applyBorder="1"/>
    <xf numFmtId="0" fontId="0" fillId="7" borderId="8" xfId="0" applyFill="1" applyBorder="1"/>
    <xf numFmtId="0" fontId="0" fillId="7" borderId="8" xfId="0" applyFill="1" applyBorder="1" applyAlignment="1"/>
    <xf numFmtId="0" fontId="0" fillId="7" borderId="0" xfId="0" applyFill="1" applyBorder="1"/>
    <xf numFmtId="0" fontId="0" fillId="7" borderId="9" xfId="0" applyFill="1" applyBorder="1"/>
    <xf numFmtId="0" fontId="0" fillId="7" borderId="0" xfId="0" applyFill="1" applyBorder="1" applyAlignment="1"/>
    <xf numFmtId="0" fontId="8" fillId="7" borderId="0" xfId="0" applyFont="1" applyFill="1" applyBorder="1" applyAlignment="1">
      <alignment horizontal="centerContinuous"/>
    </xf>
    <xf numFmtId="8" fontId="0" fillId="7" borderId="0" xfId="0" applyNumberFormat="1" applyFill="1" applyBorder="1" applyAlignment="1"/>
    <xf numFmtId="0" fontId="0" fillId="7" borderId="11" xfId="0" applyFill="1" applyBorder="1" applyAlignment="1"/>
    <xf numFmtId="0" fontId="0" fillId="7" borderId="11" xfId="0" applyFill="1" applyBorder="1"/>
    <xf numFmtId="0" fontId="0" fillId="7" borderId="12" xfId="0" applyFill="1" applyBorder="1"/>
    <xf numFmtId="0" fontId="0" fillId="7" borderId="9" xfId="0" applyFill="1" applyBorder="1" applyAlignment="1"/>
    <xf numFmtId="0" fontId="3" fillId="7" borderId="9" xfId="0" applyFont="1" applyFill="1" applyBorder="1" applyAlignment="1"/>
    <xf numFmtId="0" fontId="0" fillId="7" borderId="9" xfId="0" applyFill="1" applyBorder="1" applyAlignment="1">
      <alignment wrapText="1"/>
    </xf>
    <xf numFmtId="0" fontId="0" fillId="7" borderId="9" xfId="0" applyFont="1" applyFill="1" applyBorder="1" applyAlignment="1"/>
    <xf numFmtId="0" fontId="3" fillId="7" borderId="9" xfId="0" applyFont="1" applyFill="1" applyBorder="1" applyAlignment="1">
      <alignment wrapText="1"/>
    </xf>
    <xf numFmtId="0" fontId="3" fillId="7" borderId="8" xfId="0" applyFont="1" applyFill="1" applyBorder="1" applyAlignment="1"/>
    <xf numFmtId="44" fontId="0" fillId="7" borderId="8" xfId="0" applyNumberFormat="1" applyFont="1" applyFill="1" applyBorder="1" applyAlignment="1"/>
    <xf numFmtId="44" fontId="0" fillId="7" borderId="8" xfId="0" applyNumberFormat="1" applyFont="1" applyFill="1" applyBorder="1" applyAlignment="1">
      <alignment horizontal="centerContinuous"/>
    </xf>
    <xf numFmtId="0" fontId="0" fillId="7" borderId="10" xfId="0" applyFill="1" applyBorder="1" applyAlignment="1"/>
    <xf numFmtId="0" fontId="0" fillId="0" borderId="3" xfId="0" applyBorder="1" applyAlignment="1">
      <alignment horizontal="centerContinuous"/>
    </xf>
    <xf numFmtId="0" fontId="0" fillId="5" borderId="10" xfId="0" applyFont="1" applyFill="1" applyBorder="1" applyAlignment="1"/>
    <xf numFmtId="0" fontId="3" fillId="5" borderId="11" xfId="0" applyFont="1" applyFill="1" applyBorder="1" applyAlignment="1">
      <alignment horizontal="left"/>
    </xf>
    <xf numFmtId="0" fontId="0" fillId="5" borderId="8" xfId="0" applyFill="1" applyBorder="1" applyAlignment="1">
      <alignment horizontal="centerContinuous" wrapText="1"/>
    </xf>
    <xf numFmtId="0" fontId="0" fillId="0" borderId="9" xfId="0" applyBorder="1"/>
    <xf numFmtId="164" fontId="0" fillId="0" borderId="0" xfId="0" applyNumberFormat="1" applyBorder="1" applyAlignment="1">
      <alignment horizontal="centerContinuous" vertical="distributed"/>
    </xf>
    <xf numFmtId="0" fontId="0" fillId="0" borderId="9" xfId="0" applyBorder="1" applyAlignment="1">
      <alignment horizontal="centerContinuous" vertical="distributed"/>
    </xf>
    <xf numFmtId="0" fontId="3" fillId="5" borderId="8" xfId="0" applyFont="1" applyFill="1" applyBorder="1" applyAlignment="1">
      <alignment horizontal="centerContinuous" wrapText="1"/>
    </xf>
    <xf numFmtId="0" fontId="0" fillId="3" borderId="10" xfId="0" applyFill="1" applyBorder="1" applyAlignment="1">
      <alignment horizontal="centerContinuous"/>
    </xf>
    <xf numFmtId="8" fontId="0" fillId="6" borderId="0" xfId="0" applyNumberFormat="1" applyFill="1" applyBorder="1" applyAlignment="1"/>
    <xf numFmtId="0" fontId="0" fillId="3" borderId="6" xfId="0" applyFill="1" applyBorder="1" applyAlignment="1">
      <alignment horizontal="centerContinuous"/>
    </xf>
    <xf numFmtId="0" fontId="0" fillId="3" borderId="11" xfId="0" applyFill="1" applyBorder="1" applyAlignment="1">
      <alignment horizontal="centerContinuous"/>
    </xf>
    <xf numFmtId="0" fontId="0" fillId="3" borderId="0" xfId="0" applyFill="1" applyBorder="1" applyAlignment="1">
      <alignment horizontal="centerContinuous"/>
    </xf>
    <xf numFmtId="0" fontId="12" fillId="5" borderId="8" xfId="0" applyFont="1" applyFill="1" applyBorder="1" applyAlignment="1">
      <alignment horizontal="centerContinuous"/>
    </xf>
    <xf numFmtId="0" fontId="0" fillId="3" borderId="10" xfId="0" applyFill="1" applyBorder="1" applyAlignment="1">
      <alignment horizontal="centerContinuous" wrapText="1"/>
    </xf>
    <xf numFmtId="0" fontId="0" fillId="3" borderId="11" xfId="0" applyFill="1" applyBorder="1" applyAlignment="1">
      <alignment horizontal="centerContinuous" wrapText="1"/>
    </xf>
    <xf numFmtId="8" fontId="3" fillId="6" borderId="0" xfId="0" applyNumberFormat="1" applyFont="1" applyFill="1" applyBorder="1" applyAlignment="1"/>
    <xf numFmtId="8" fontId="0" fillId="0" borderId="0" xfId="0" applyNumberFormat="1" applyAlignment="1">
      <alignment vertical="top" wrapText="1"/>
    </xf>
    <xf numFmtId="8" fontId="0" fillId="0" borderId="0" xfId="0" applyNumberFormat="1" applyFill="1"/>
    <xf numFmtId="0" fontId="0" fillId="0" borderId="0" xfId="0" applyFill="1" applyAlignment="1">
      <alignment horizontal="right"/>
    </xf>
    <xf numFmtId="8" fontId="0" fillId="0" borderId="0" xfId="0" applyNumberFormat="1" applyFill="1" applyBorder="1" applyAlignment="1"/>
    <xf numFmtId="164" fontId="0" fillId="7" borderId="0" xfId="0" applyNumberFormat="1" applyFill="1" applyBorder="1" applyAlignment="1"/>
    <xf numFmtId="8" fontId="0" fillId="0" borderId="0" xfId="0" applyNumberFormat="1" applyAlignment="1"/>
    <xf numFmtId="0" fontId="0" fillId="0" borderId="0" xfId="0" applyBorder="1" applyAlignment="1">
      <alignment horizontal="left"/>
    </xf>
    <xf numFmtId="0" fontId="2" fillId="0" borderId="0" xfId="0" applyFont="1" applyAlignment="1">
      <alignment vertical="top" wrapText="1"/>
    </xf>
    <xf numFmtId="0" fontId="7" fillId="0" borderId="11" xfId="3" applyFont="1" applyFill="1" applyBorder="1" applyAlignment="1">
      <alignment horizontal="center" wrapText="1"/>
    </xf>
    <xf numFmtId="0" fontId="4" fillId="7" borderId="8" xfId="0" applyFont="1" applyFill="1" applyBorder="1" applyAlignment="1">
      <alignment horizontal="center" vertical="center"/>
    </xf>
  </cellXfs>
  <cellStyles count="4">
    <cellStyle name="Accent6" xfId="3" builtinId="49"/>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28575</xdr:colOff>
      <xdr:row>143</xdr:row>
      <xdr:rowOff>114301</xdr:rowOff>
    </xdr:from>
    <xdr:to>
      <xdr:col>24</xdr:col>
      <xdr:colOff>9525</xdr:colOff>
      <xdr:row>149</xdr:row>
      <xdr:rowOff>76200</xdr:rowOff>
    </xdr:to>
    <xdr:cxnSp macro="">
      <xdr:nvCxnSpPr>
        <xdr:cNvPr id="6" name="Straight Arrow Connector 5"/>
        <xdr:cNvCxnSpPr/>
      </xdr:nvCxnSpPr>
      <xdr:spPr>
        <a:xfrm flipV="1">
          <a:off x="14163675" y="8334376"/>
          <a:ext cx="3476625" cy="1162049"/>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38100</xdr:colOff>
      <xdr:row>143</xdr:row>
      <xdr:rowOff>76201</xdr:rowOff>
    </xdr:from>
    <xdr:to>
      <xdr:col>39</xdr:col>
      <xdr:colOff>38100</xdr:colOff>
      <xdr:row>149</xdr:row>
      <xdr:rowOff>28575</xdr:rowOff>
    </xdr:to>
    <xdr:cxnSp macro="">
      <xdr:nvCxnSpPr>
        <xdr:cNvPr id="8" name="Straight Arrow Connector 7"/>
        <xdr:cNvCxnSpPr/>
      </xdr:nvCxnSpPr>
      <xdr:spPr>
        <a:xfrm flipV="1">
          <a:off x="25117425" y="8315326"/>
          <a:ext cx="3467100" cy="1152524"/>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38100</xdr:colOff>
      <xdr:row>257</xdr:row>
      <xdr:rowOff>114301</xdr:rowOff>
    </xdr:from>
    <xdr:to>
      <xdr:col>24</xdr:col>
      <xdr:colOff>9525</xdr:colOff>
      <xdr:row>263</xdr:row>
      <xdr:rowOff>85725</xdr:rowOff>
    </xdr:to>
    <xdr:cxnSp macro="">
      <xdr:nvCxnSpPr>
        <xdr:cNvPr id="15" name="Straight Arrow Connector 14"/>
        <xdr:cNvCxnSpPr/>
      </xdr:nvCxnSpPr>
      <xdr:spPr>
        <a:xfrm flipV="1">
          <a:off x="14697075" y="39862126"/>
          <a:ext cx="3467100" cy="1171574"/>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666750</xdr:colOff>
      <xdr:row>257</xdr:row>
      <xdr:rowOff>76200</xdr:rowOff>
    </xdr:from>
    <xdr:to>
      <xdr:col>39</xdr:col>
      <xdr:colOff>38100</xdr:colOff>
      <xdr:row>262</xdr:row>
      <xdr:rowOff>123825</xdr:rowOff>
    </xdr:to>
    <xdr:cxnSp macro="">
      <xdr:nvCxnSpPr>
        <xdr:cNvPr id="16" name="Straight Arrow Connector 15"/>
        <xdr:cNvCxnSpPr/>
      </xdr:nvCxnSpPr>
      <xdr:spPr>
        <a:xfrm flipV="1">
          <a:off x="24307800" y="8296275"/>
          <a:ext cx="3524250" cy="1057275"/>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0</xdr:row>
      <xdr:rowOff>1</xdr:rowOff>
    </xdr:from>
    <xdr:ext cx="13009563" cy="18497550"/>
    <xdr:sp macro="" textlink="">
      <xdr:nvSpPr>
        <xdr:cNvPr id="10" name="TextBox 9"/>
        <xdr:cNvSpPr txBox="1"/>
      </xdr:nvSpPr>
      <xdr:spPr>
        <a:xfrm>
          <a:off x="0" y="1"/>
          <a:ext cx="13009563" cy="18497550"/>
        </a:xfrm>
        <a:prstGeom prst="rect">
          <a:avLst/>
        </a:prstGeom>
        <a:solidFill>
          <a:srgbClr val="0070C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latin typeface="+mn-lt"/>
              <a:ea typeface="+mn-ea"/>
              <a:cs typeface="+mn-cs"/>
            </a:rPr>
            <a:t>These examples will focus on adjustments to the tracking desired MW and the connection between opportunity cost and revenues in the reserve market and the Balancing Operating Reserve calculation when the resource is assigned reserves (either Synchronized Reserves or Secondary Reserves). </a:t>
          </a:r>
        </a:p>
        <a:p>
          <a:pPr marL="0" marR="0" lvl="0" indent="0" defTabSz="914400" eaLnBrk="1" fontAlgn="auto" latinLnBrk="0" hangingPunct="1">
            <a:lnSpc>
              <a:spcPct val="100000"/>
            </a:lnSpc>
            <a:spcBef>
              <a:spcPts val="0"/>
            </a:spcBef>
            <a:spcAft>
              <a:spcPts val="0"/>
            </a:spcAft>
            <a:buClrTx/>
            <a:buSzTx/>
            <a:buFontTx/>
            <a:buNone/>
            <a:tabLst/>
            <a:defRPr/>
          </a:pPr>
          <a:endParaRPr lang="en-US" sz="1400">
            <a:effectLst/>
          </a:endParaRPr>
        </a:p>
        <a:p>
          <a:r>
            <a:rPr lang="en-US" sz="1400" baseline="0">
              <a:solidFill>
                <a:schemeClr val="bg1"/>
              </a:solidFill>
            </a:rPr>
            <a:t>The calculation of reserve opportunity cost is not changing as part of this stakeholder process; however, it is important to understand the calculation and the costs it covers in order to better understand the how and why the Balancing Operating Reserve Credit calculation needs to</a:t>
          </a:r>
          <a:r>
            <a:rPr lang="en-US" sz="1400" baseline="0">
              <a:solidFill>
                <a:srgbClr val="FFFF00"/>
              </a:solidFill>
            </a:rPr>
            <a:t> </a:t>
          </a:r>
          <a:r>
            <a:rPr lang="en-US" sz="1400" baseline="0">
              <a:solidFill>
                <a:schemeClr val="bg1"/>
              </a:solidFill>
            </a:rPr>
            <a:t>be adjusted to account for opportunity costs.</a:t>
          </a:r>
        </a:p>
        <a:p>
          <a:endParaRPr lang="en-US" sz="1400" baseline="0">
            <a:solidFill>
              <a:srgbClr val="FFFF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A non-zero reserve market opportunity cost will only exist when LMP supports the resource operating at greater output for energy than where it needs to operate in order to provide the reserve assignment. In such cases, the resource's energy output is backed down in order to provide room to hold the reserve assignment. The opportunity cost captures the forgone energy profit from the day-ahead and/or real-time energy markets in order to provide reserves. That profit needs to be provided in the reserve market in order to keep the resource indifferent between providing energy or providing Reserves. The forgone profit calculation is a) the energy revenue received for the deviation MW between where the resource is operating to provide reserves up to where the resource would have been operating for energy minus b) the incremental energy cost (area under the curve) from where the resource is operating to provide reserves up to where the resource would have been operating for energy absent a reserve assignment. This calculation occurs in the day-ahead market as well as for any additional reserves assigned in the real-time market.</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The Balancing Operating Reserve credit calculation needs to be modified to account for the DA and RT Reserve Opportunity Costs in order to avoid double counting profit or costs between markets.  This is consistent with how the Balancing Operating Reserve credit calculation is proposed to be modified to account for regulation opportunity costs and opportunity costs associated with manual dispatch directives in order to avoid double counting of credits provided via those markets (reference the examples provided at the May and June MIC special sessions). </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solidFill>
              <a:srgbClr val="FFFF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The reserve opportunity cost value that will be used in the Step 1 and Step 2 balancing operating reserve calculations can be different.</a:t>
          </a:r>
        </a:p>
        <a:p>
          <a:r>
            <a:rPr lang="en-US" sz="1400" baseline="0">
              <a:solidFill>
                <a:schemeClr val="bg1"/>
              </a:solidFill>
              <a:effectLst/>
              <a:latin typeface="+mn-lt"/>
              <a:ea typeface="+mn-ea"/>
              <a:cs typeface="+mn-cs"/>
            </a:rPr>
            <a:t>The reserve opportunity cost value used in the Balancing Operating Reserves @ Tracking Desired (Step 1) calculation will be the potential reserve opportunity cost. This is the expected opportunity cost that the resource would incur if the resource would need to be backed down from the economic Tracking Desired MW in order to provide the RT reserve assignment. </a:t>
          </a:r>
        </a:p>
        <a:p>
          <a:r>
            <a:rPr lang="en-US" sz="1400" baseline="0">
              <a:solidFill>
                <a:schemeClr val="accent2">
                  <a:lumMod val="60000"/>
                  <a:lumOff val="40000"/>
                </a:schemeClr>
              </a:solidFill>
              <a:effectLst/>
              <a:latin typeface="+mn-lt"/>
              <a:ea typeface="+mn-ea"/>
              <a:cs typeface="+mn-cs"/>
            </a:rPr>
            <a:t> </a:t>
          </a:r>
        </a:p>
        <a:p>
          <a:r>
            <a:rPr lang="en-US" sz="1400" baseline="0">
              <a:solidFill>
                <a:schemeClr val="bg1"/>
              </a:solidFill>
              <a:effectLst/>
              <a:latin typeface="+mn-lt"/>
              <a:ea typeface="+mn-ea"/>
              <a:cs typeface="+mn-cs"/>
            </a:rPr>
            <a:t>The reserve opportunity cost value used in the Balancing Operating Reserves @ Tracking Desired (Step 2) calculation will be the actual reserve opportunity cost used in reserve market settlements.  This is the opportunity cost associated with backing down from the resource's real-time energy set point.</a:t>
          </a:r>
        </a:p>
        <a:p>
          <a:endParaRPr lang="en-US" sz="1400" baseline="0">
            <a:solidFill>
              <a:schemeClr val="accent6">
                <a:lumMod val="40000"/>
                <a:lumOff val="60000"/>
              </a:schemeClr>
            </a:solidFill>
            <a:effectLst/>
            <a:latin typeface="+mn-lt"/>
            <a:ea typeface="+mn-ea"/>
            <a:cs typeface="+mn-cs"/>
          </a:endParaRPr>
        </a:p>
        <a:p>
          <a:r>
            <a:rPr lang="en-US" sz="1400" baseline="0">
              <a:solidFill>
                <a:schemeClr val="bg1"/>
              </a:solidFill>
              <a:effectLst/>
              <a:latin typeface="+mn-lt"/>
              <a:ea typeface="+mn-ea"/>
              <a:cs typeface="+mn-cs"/>
            </a:rPr>
            <a:t>This methodology will synchronize the balancing operating reserve and reserve market opportunity cost calculations.</a:t>
          </a:r>
        </a:p>
        <a:p>
          <a:endParaRPr lang="en-US" sz="1400" baseline="0">
            <a:solidFill>
              <a:schemeClr val="accent2">
                <a:lumMod val="60000"/>
                <a:lumOff val="40000"/>
              </a:schemeClr>
            </a:solidFill>
            <a:effectLst/>
            <a:latin typeface="+mn-lt"/>
            <a:ea typeface="+mn-ea"/>
            <a:cs typeface="+mn-cs"/>
          </a:endParaRPr>
        </a:p>
        <a:p>
          <a:r>
            <a:rPr lang="en-US" sz="1400" baseline="0">
              <a:solidFill>
                <a:schemeClr val="bg1"/>
              </a:solidFill>
              <a:effectLst/>
              <a:latin typeface="+mn-lt"/>
              <a:ea typeface="+mn-ea"/>
              <a:cs typeface="+mn-cs"/>
            </a:rPr>
            <a:t>There are seven blue boxes in each example below that are not directly part of the Balancing Operating Reserve calculation, but have been added to help illustrate the connection between the PJM bill, Profit/Loss calculations and the Balancing Operating Reserve Calculation.</a:t>
          </a:r>
        </a:p>
        <a:p>
          <a:endParaRPr lang="en-US" sz="1400" baseline="0">
            <a:solidFill>
              <a:schemeClr val="accent6">
                <a:lumMod val="20000"/>
                <a:lumOff val="80000"/>
              </a:schemeClr>
            </a:solidFill>
            <a:effectLst/>
            <a:latin typeface="+mn-lt"/>
            <a:ea typeface="+mn-ea"/>
            <a:cs typeface="+mn-cs"/>
          </a:endParaRPr>
        </a:p>
        <a:p>
          <a:r>
            <a:rPr lang="en-US" sz="1400" baseline="0">
              <a:solidFill>
                <a:schemeClr val="bg1"/>
              </a:solidFill>
              <a:effectLst/>
              <a:latin typeface="+mn-lt"/>
              <a:ea typeface="+mn-ea"/>
              <a:cs typeface="+mn-cs"/>
            </a:rPr>
            <a:t>Three of the seven blue boxes illustrate the calculation of the reserve market settlement - the first one, titled 'Day-Ahead Reserves', outlines the settlement associated with any day-ahead reserve assignment. The second box, titled 'Real-Time Reserves Potential', calculates reserve settlements based on what the resource potentially would have earned if it had followed the PJM dispatch (Tracking Desired) and also provided the assigned RT reserves. The third box, titled 'Real-Time Reserves Actual', is what the resource actually earned in the reserve market. </a:t>
          </a:r>
        </a:p>
        <a:p>
          <a:endParaRPr lang="en-US" sz="1400" baseline="0">
            <a:solidFill>
              <a:schemeClr val="accent6">
                <a:lumMod val="20000"/>
                <a:lumOff val="80000"/>
              </a:schemeClr>
            </a:solidFill>
            <a:effectLst/>
            <a:latin typeface="+mn-lt"/>
            <a:ea typeface="+mn-ea"/>
            <a:cs typeface="+mn-cs"/>
          </a:endParaRPr>
        </a:p>
        <a:p>
          <a:r>
            <a:rPr lang="en-US" sz="1400" baseline="0">
              <a:solidFill>
                <a:schemeClr val="bg1"/>
              </a:solidFill>
              <a:effectLst/>
              <a:latin typeface="+mn-lt"/>
              <a:ea typeface="+mn-ea"/>
              <a:cs typeface="+mn-cs"/>
            </a:rPr>
            <a:t>Another two of the seven blue boxes illustrate the PJM Bill.  This summarizes the credits that are paid across both the day-ahead and balancing energy and reserve markets on the PJM billing statement, providing a picture of the total revenues received.  The box labeled 'PJM Bill Potential' summarizes the total revenues that would have been received if the resource had followed the Tracking Desired MW.  This is used in reconciling the Step 1 calculation.  The box labeled 'PJM Bill Actual' summarizes the total revenues the resource actually received based on how it actually operated.  This is used in reconciling the Step 2 calculation. </a:t>
          </a:r>
        </a:p>
        <a:p>
          <a:endParaRPr lang="en-US" sz="1400" baseline="0">
            <a:solidFill>
              <a:schemeClr val="accent2">
                <a:lumMod val="60000"/>
                <a:lumOff val="40000"/>
              </a:schemeClr>
            </a:solidFill>
            <a:effectLst/>
            <a:latin typeface="+mn-lt"/>
            <a:ea typeface="+mn-ea"/>
            <a:cs typeface="+mn-cs"/>
          </a:endParaRPr>
        </a:p>
        <a:p>
          <a:r>
            <a:rPr lang="en-US" sz="1400" baseline="0">
              <a:solidFill>
                <a:schemeClr val="bg1"/>
              </a:solidFill>
              <a:effectLst/>
              <a:latin typeface="+mn-lt"/>
              <a:ea typeface="+mn-ea"/>
              <a:cs typeface="+mn-cs"/>
            </a:rPr>
            <a:t>The PJM Bill boxes are used in conjunction with the final set of blue boxes, which are labeled 'Profit/Loss Potential' and 'Profit/Loss Actual'. The Profit/Loss boxes are reflective of the Revenue received through the PJM Bill minus the cost of the MW produced (which is the Tracking Desired MW in the Potential Profit/Loss box and the actual RT MW in the Actual Profit/Loss box. Having the same set of boxes (Reserve Settlement, PJM Bill and Profit / Loss) for both the Potential (Step 1) and Actual (Step 2) calculations enables straight forward comparisons between the Potential and Actual calculations.</a:t>
          </a:r>
        </a:p>
        <a:p>
          <a:endParaRPr lang="en-US" sz="1400" baseline="0">
            <a:solidFill>
              <a:schemeClr val="accent2">
                <a:lumMod val="60000"/>
                <a:lumOff val="40000"/>
              </a:schemeClr>
            </a:solidFill>
            <a:effectLst/>
            <a:latin typeface="+mn-lt"/>
            <a:ea typeface="+mn-ea"/>
            <a:cs typeface="+mn-cs"/>
          </a:endParaRPr>
        </a:p>
        <a:p>
          <a:r>
            <a:rPr lang="en-US" sz="1400" baseline="0">
              <a:solidFill>
                <a:schemeClr val="bg1"/>
              </a:solidFill>
              <a:effectLst/>
              <a:latin typeface="+mn-lt"/>
              <a:ea typeface="+mn-ea"/>
              <a:cs typeface="+mn-cs"/>
            </a:rPr>
            <a:t>In general, the profit/loss should typically match the Balancing Net Revenue in the Balancing Operating Reserve calculation. The Potential Profit/Loss should match the Balancing Net Revenue from the Step 1 calculation (which uses Tracking Desired MW).  The Actual Profit/Loss should match the Balancing Net Revenue from the Step 2 calculation (which uses Actual RT MW).  </a:t>
          </a:r>
          <a:r>
            <a:rPr lang="en-US" sz="1400" strike="noStrike" baseline="0">
              <a:solidFill>
                <a:schemeClr val="bg1"/>
              </a:solidFill>
              <a:effectLst/>
              <a:latin typeface="+mn-lt"/>
              <a:ea typeface="+mn-ea"/>
              <a:cs typeface="+mn-cs"/>
            </a:rPr>
            <a:t>T</a:t>
          </a:r>
          <a:r>
            <a:rPr lang="en-US" sz="1400" baseline="0">
              <a:solidFill>
                <a:schemeClr val="bg1"/>
              </a:solidFill>
              <a:effectLst/>
              <a:latin typeface="+mn-lt"/>
              <a:ea typeface="+mn-ea"/>
              <a:cs typeface="+mn-cs"/>
            </a:rPr>
            <a:t>he aim of the Balancing Operating Reserve Credit calculation is to determine what additional compensation the resource needs to cover its costs to produce energy after accounting for all the revenues it received.  If the Balancing Net Revenue in the Balancing Operating Reserve calculation is less than or greater than the Profit/Loss, this is an indication that there are revenues or costs that are being omitted from, or double counted in, the Balancing Operating Reserve Credit calculation.   If the values match, it is a signal that all costs and revenues have been appropriately accounted for in the Balancing Operating Reserve Credit calculation. </a:t>
          </a:r>
        </a:p>
        <a:p>
          <a:endParaRPr lang="en-US" sz="1400" baseline="0">
            <a:solidFill>
              <a:schemeClr val="accent2">
                <a:lumMod val="60000"/>
                <a:lumOff val="40000"/>
              </a:schemeClr>
            </a:solidFill>
            <a:effectLst/>
            <a:latin typeface="+mn-lt"/>
            <a:ea typeface="+mn-ea"/>
            <a:cs typeface="+mn-cs"/>
          </a:endParaRPr>
        </a:p>
        <a:p>
          <a:r>
            <a:rPr lang="en-US" sz="1400" baseline="0">
              <a:solidFill>
                <a:schemeClr val="bg1"/>
              </a:solidFill>
              <a:effectLst/>
              <a:latin typeface="+mn-lt"/>
              <a:ea typeface="+mn-ea"/>
              <a:cs typeface="+mn-cs"/>
            </a:rPr>
            <a:t>For reserves, the only time the Balancing Net Revenue will not match the Potential Profit/Loss is when there is an Opportunity Cost Owed value.  This is illustrated in more detail in example 4 on the 'Reserve Decrease in RT' tab of this workbook.</a:t>
          </a:r>
          <a:r>
            <a:rPr lang="en-US" sz="1400" strike="sngStrike" baseline="0">
              <a:solidFill>
                <a:schemeClr val="bg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u="sng" baseline="0">
              <a:solidFill>
                <a:schemeClr val="bg1"/>
              </a:solidFill>
              <a:effectLst/>
              <a:latin typeface="+mn-lt"/>
              <a:ea typeface="+mn-ea"/>
              <a:cs typeface="+mn-cs"/>
            </a:rPr>
            <a:t>Definitions of key terms used in the examples below:</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Economic Tracking Desired: The output the resource would have obtained if the resource had been following dispatch the entire time and absent the reserve assignment. </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Tracking Desired MW: This is the Economic Tracking Desired MW adjusted, as needed, to make room for the reserve assignment.  This equals the lesser of the Economic Tracking Desired or RT Reserve Max, which is then reduced by the reserve assignment.  This adjustment only occurs when the RT backed Down Potential Ind = 1. Otherwise, the Tracking Desired MW will equal the Economic Tracking Desired MW</a:t>
          </a:r>
          <a:r>
            <a:rPr lang="en-US" sz="1400" baseline="0">
              <a:solidFill>
                <a:schemeClr val="accent6">
                  <a:lumMod val="40000"/>
                  <a:lumOff val="60000"/>
                </a:schemeClr>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RT Capped assignment: Existing rules cap the reserve MW a resource will be credited for if it is overgenerating. This is the reserve assignment value used for calculating the actual Balancing Reserve Market Credit and the actual real-time reserve opportunity cost. The capped reserve assignment is calculated as</a:t>
          </a:r>
          <a:r>
            <a:rPr lang="en-US" sz="1400" baseline="0">
              <a:solidFill>
                <a:schemeClr val="accent6">
                  <a:lumMod val="40000"/>
                  <a:lumOff val="60000"/>
                </a:schemeClr>
              </a:solidFill>
              <a:effectLst/>
              <a:latin typeface="+mn-lt"/>
              <a:ea typeface="+mn-ea"/>
              <a:cs typeface="+mn-cs"/>
            </a:rPr>
            <a:t> </a:t>
          </a:r>
          <a:r>
            <a:rPr lang="en-US" sz="1400" baseline="0">
              <a:solidFill>
                <a:schemeClr val="bg1"/>
              </a:solidFill>
              <a:effectLst/>
              <a:latin typeface="+mn-lt"/>
              <a:ea typeface="+mn-ea"/>
              <a:cs typeface="+mn-cs"/>
            </a:rPr>
            <a:t>the lesser of the assigned reserves and the difference between the RT MW and the reserve maximum limit.  </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DA Backed Down Ind: Will equal 1 if the resource is cleared day-ahead energy and was reduced in order to assign reserves in the day-ahead market.</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RT Backed Down Potential Ind: This indicator is used in the Step 1 calculation. It will equal 1 if the resource was desired at the economic tracking desired and would have to reduce output to make room for the assigned reserves in the real-time market.</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RT Backed down Ind: This indicator is used in the Step 2 calculation.  It will equal 1 when the resource was reduced from its economic real-time energy set point to provide room for the reserve assignment.</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The RT Backed Down Potential Ind and RT Backed Down Ind may be different depending on how well the resource was following dispatch. If Economic Tracking Desired MW is at or near Eco Max or the Reserve Max, the resource would need to be backed down in order to make room for the real-time reserve assignment (RT Backed Down Potential Ind = 1).   However, if the resource was operating below the tracking desired MW in RT, it may have available headroom to accommodate the reserve assignment at its current output level without being backed down (RT Backed Down Ind = 0). This could impact the Opportunity cost calculations - meaning there could be a non-zero opportunity cost in the Step 1 (Potential) calculation while there is a zero opportunity cost in the Step 2 (actual calculation). (It could also be vice versa if the resource was slow to following instructions while being dispatched to a lower output)</a:t>
          </a:r>
        </a:p>
      </xdr:txBody>
    </xdr:sp>
    <xdr:clientData/>
  </xdr:oneCellAnchor>
  <xdr:oneCellAnchor>
    <xdr:from>
      <xdr:col>0</xdr:col>
      <xdr:colOff>9525</xdr:colOff>
      <xdr:row>158</xdr:row>
      <xdr:rowOff>190497</xdr:rowOff>
    </xdr:from>
    <xdr:ext cx="14401800" cy="10687053"/>
    <xdr:sp macro="" textlink="">
      <xdr:nvSpPr>
        <xdr:cNvPr id="11" name="TextBox 10"/>
        <xdr:cNvSpPr txBox="1"/>
      </xdr:nvSpPr>
      <xdr:spPr>
        <a:xfrm>
          <a:off x="9525" y="36175947"/>
          <a:ext cx="14401800" cy="10687053"/>
        </a:xfrm>
        <a:prstGeom prst="rect">
          <a:avLst/>
        </a:prstGeom>
        <a:solidFill>
          <a:srgbClr val="0070C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solidFill>
                <a:schemeClr val="bg1"/>
              </a:solidFill>
            </a:rPr>
            <a:t>Takeaway:</a:t>
          </a:r>
        </a:p>
        <a:p>
          <a:endParaRPr lang="en-US" sz="1400">
            <a:solidFill>
              <a:schemeClr val="bg1"/>
            </a:solidFill>
          </a:endParaRPr>
        </a:p>
        <a:p>
          <a:r>
            <a:rPr lang="en-US" sz="1400" u="sng">
              <a:solidFill>
                <a:schemeClr val="bg1"/>
              </a:solidFill>
            </a:rPr>
            <a:t>Step 1 (Tracking Desired)</a:t>
          </a:r>
          <a:r>
            <a:rPr lang="en-US" sz="1400" u="sng" baseline="0">
              <a:solidFill>
                <a:schemeClr val="bg1"/>
              </a:solidFill>
            </a:rPr>
            <a:t> Balancing Operating Reserve </a:t>
          </a:r>
          <a:r>
            <a:rPr lang="en-US" sz="1400" u="sng">
              <a:solidFill>
                <a:schemeClr val="bg1"/>
              </a:solidFill>
            </a:rPr>
            <a:t>Calculation:</a:t>
          </a:r>
        </a:p>
        <a:p>
          <a:r>
            <a:rPr lang="en-US" sz="1400">
              <a:solidFill>
                <a:schemeClr val="bg1"/>
              </a:solidFill>
            </a:rPr>
            <a:t>In the balancing</a:t>
          </a:r>
          <a:r>
            <a:rPr lang="en-US" sz="1400" baseline="0">
              <a:solidFill>
                <a:schemeClr val="bg1"/>
              </a:solidFill>
            </a:rPr>
            <a:t> operating reserves @ tracking desired calculation (Step 1), the tracking desired needs to be adjusted to account for the reserve assignment the resource received in real-time.  In this example, the Economic (unadjusted) Tracking Desired MW is equal to the resource's Eco Max, which would leave no room for the resource to provide reserves.  The Tracking Desired MW therefore needs to be reduced to create room for the resource to provide the 20 MW reserve assignment.  The Tracking Desired MW is therefore reduced to  80 MW. The equation for this is Min (Economic Tracking Desired, RT Reserve Max) - Reserve Assignment.  In the above calculations supporting Step 1, this adjusted Tracking Desired MW value of 80 MW is used to calculate Balancing Energy Revenue, RT Reserve Opportunity cost and the Incremental energy cost.</a:t>
          </a:r>
        </a:p>
        <a:p>
          <a:endParaRPr lang="en-US" sz="1400" baseline="0">
            <a:solidFill>
              <a:schemeClr val="bg1"/>
            </a:solidFill>
          </a:endParaRPr>
        </a:p>
        <a:p>
          <a:r>
            <a:rPr lang="en-US" sz="1400" baseline="0">
              <a:solidFill>
                <a:schemeClr val="bg1"/>
              </a:solidFill>
            </a:rPr>
            <a:t>The RT Reserve Opportunity cost will be the difference between a) the revenue for the deviation between the Economic Tracking Desired and Tracking Desired and b) the cost to provide the MW from Tracking Desired to the Economic Tracking Desired.</a:t>
          </a:r>
        </a:p>
        <a:p>
          <a:pPr lvl="1"/>
          <a:r>
            <a:rPr lang="en-US" sz="1400" baseline="0">
              <a:solidFill>
                <a:schemeClr val="bg1"/>
              </a:solidFill>
            </a:rPr>
            <a:t>RT Opportunity Cost Revenue:  (</a:t>
          </a:r>
          <a:r>
            <a:rPr lang="en-US" sz="1400" baseline="0">
              <a:solidFill>
                <a:schemeClr val="bg1"/>
              </a:solidFill>
              <a:latin typeface="+mn-lt"/>
              <a:ea typeface="+mn-ea"/>
              <a:cs typeface="+mn-cs"/>
            </a:rPr>
            <a:t>Economic Tracking Desired - Tracking desired ) * RT LMP =  </a:t>
          </a:r>
          <a:r>
            <a:rPr lang="en-US" sz="1400" baseline="0">
              <a:solidFill>
                <a:schemeClr val="bg1"/>
              </a:solidFill>
            </a:rPr>
            <a:t>(100 - 80) * $47 = 20 * $47 = $940</a:t>
          </a:r>
        </a:p>
        <a:p>
          <a:pPr lvl="1"/>
          <a:endParaRPr lang="en-US" sz="1400" baseline="0">
            <a:solidFill>
              <a:srgbClr val="FFFF00"/>
            </a:solidFill>
          </a:endParaRPr>
        </a:p>
        <a:p>
          <a:pPr lvl="1"/>
          <a:r>
            <a:rPr lang="en-US" sz="1400" baseline="0">
              <a:solidFill>
                <a:schemeClr val="bg1"/>
              </a:solidFill>
              <a:latin typeface="+mn-lt"/>
              <a:ea typeface="+mn-ea"/>
              <a:cs typeface="+mn-cs"/>
            </a:rPr>
            <a:t>Cost to provide: (Economic Tracking Desired - Tracking desired )  * ((Economic Tracking Desired  Price + Tracking Desired Price )/2) = (100 - 80) * (($30 + $26)/2) = 20 * $28 = $560</a:t>
          </a:r>
        </a:p>
        <a:p>
          <a:pPr lvl="1"/>
          <a:endParaRPr lang="en-US" sz="1400" baseline="0">
            <a:solidFill>
              <a:schemeClr val="bg1"/>
            </a:solidFill>
            <a:latin typeface="+mn-lt"/>
            <a:ea typeface="+mn-ea"/>
            <a:cs typeface="+mn-cs"/>
          </a:endParaRPr>
        </a:p>
        <a:p>
          <a:pPr lvl="1"/>
          <a:r>
            <a:rPr lang="en-US" sz="1400" baseline="0">
              <a:solidFill>
                <a:schemeClr val="bg1"/>
              </a:solidFill>
              <a:latin typeface="+mn-lt"/>
              <a:ea typeface="+mn-ea"/>
              <a:cs typeface="+mn-cs"/>
            </a:rPr>
            <a:t>RT Opportunity (Cost Potential): Revenue - Cost to Provide ($940 - $560) = $380</a:t>
          </a:r>
        </a:p>
        <a:p>
          <a:endParaRPr lang="en-US" sz="1400" baseline="0">
            <a:solidFill>
              <a:schemeClr val="bg1"/>
            </a:solidFill>
            <a:latin typeface="+mn-lt"/>
            <a:ea typeface="+mn-ea"/>
            <a:cs typeface="+mn-cs"/>
          </a:endParaRPr>
        </a:p>
        <a:p>
          <a:r>
            <a:rPr lang="en-US" sz="1400" baseline="0">
              <a:solidFill>
                <a:schemeClr val="bg1"/>
              </a:solidFill>
              <a:latin typeface="+mn-lt"/>
              <a:ea typeface="+mn-ea"/>
              <a:cs typeface="+mn-cs"/>
            </a:rPr>
            <a:t>The $380 is the energy profit that resource potentially gave up to provide reserves if it had been operating consistent with the tracking desired MW and the reserve assignment. However, because the resource received $600 in Reserve Market Clearing Price Credits, the resource would have covered that opportunity cost and made an extra $220 in excess of the forgone energy profit by participating in the reserve market.  This $220 is the Reserve Market Revenue Above Cost.</a:t>
          </a:r>
        </a:p>
        <a:p>
          <a:endParaRPr lang="en-US" sz="1400" baseline="0">
            <a:solidFill>
              <a:schemeClr val="bg1"/>
            </a:solidFill>
            <a:latin typeface="+mn-lt"/>
            <a:ea typeface="+mn-ea"/>
            <a:cs typeface="+mn-cs"/>
          </a:endParaRPr>
        </a:p>
        <a:p>
          <a:r>
            <a:rPr lang="en-US" sz="1400" baseline="0">
              <a:solidFill>
                <a:schemeClr val="bg1"/>
              </a:solidFill>
              <a:latin typeface="+mn-lt"/>
              <a:ea typeface="+mn-ea"/>
              <a:cs typeface="+mn-cs"/>
            </a:rPr>
            <a:t>The $220 in Reserve Market Revenue Above Cost is already accounted for in today's Balancing Operating Reserve Calculation; however, the reserve opportunity cost also needs to be accounted for going forward in order to ensure the Balancing Operating Reserve calculation has a complete accounting of all of the revenues available to offset costs in the energy market.  </a:t>
          </a:r>
          <a:r>
            <a:rPr lang="en-US" sz="1400" baseline="0">
              <a:solidFill>
                <a:schemeClr val="bg1"/>
              </a:solidFill>
              <a:latin typeface="+mn-lt"/>
              <a:ea typeface="+mn-ea"/>
              <a:cs typeface="+mn-cs"/>
            </a:rPr>
            <a:t>This is a proposed change to the Balancing Operating Reserve calculation.  </a:t>
          </a:r>
          <a:r>
            <a:rPr lang="en-US" sz="1400" baseline="0">
              <a:solidFill>
                <a:schemeClr val="bg1"/>
              </a:solidFill>
              <a:latin typeface="+mn-lt"/>
              <a:ea typeface="+mn-ea"/>
              <a:cs typeface="+mn-cs"/>
            </a:rPr>
            <a:t>Once the reserve opportunity cost is included in the Balancing Operating Reserve Step 1 calculation, it causes the Step 1 (Potential) Bal Net Revenue to equal the potential profit/loss the unit earned from all markets, confirming that the Balancing Operating Reserve calculation has appropriately accounted for all revenues and costs incurred across the markets. </a:t>
          </a:r>
        </a:p>
        <a:p>
          <a:endParaRPr lang="en-US" sz="1400" baseline="0">
            <a:solidFill>
              <a:srgbClr val="FFFF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latin typeface="+mn-lt"/>
              <a:ea typeface="+mn-ea"/>
              <a:cs typeface="+mn-cs"/>
            </a:rPr>
            <a:t>The opportunity cost for reserves needs to be accounted for in the Balancing operating reserves calculation since it is forgone energy profit. This is profit that would have been used to cover any additional startup and no load costs had the resource not provided the reserve MW and instead provided energy.  If the opportunity cost was not included, then the resource would receive that forgone profit in the reserve market as well as potentially be made whole for a portion of its startup and no load costs via balancing operating reserves when it actually recovered all or a portion of those costs via the profit realized through reserve opportunity costs.</a:t>
          </a:r>
        </a:p>
        <a:p>
          <a:endParaRPr lang="en-US" sz="1400" baseline="0">
            <a:solidFill>
              <a:srgbClr val="FFFF00"/>
            </a:solidFill>
            <a:latin typeface="+mn-lt"/>
            <a:ea typeface="+mn-ea"/>
            <a:cs typeface="+mn-cs"/>
          </a:endParaRPr>
        </a:p>
        <a:p>
          <a:endParaRPr lang="en-US" sz="1400" baseline="0">
            <a:solidFill>
              <a:schemeClr val="bg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u="sng" baseline="0">
              <a:solidFill>
                <a:schemeClr val="bg1"/>
              </a:solidFill>
              <a:latin typeface="+mn-lt"/>
              <a:ea typeface="+mn-ea"/>
              <a:cs typeface="+mn-cs"/>
            </a:rPr>
            <a:t>Step 2 (Actual) Balancing Operating Reserve Calculation:</a:t>
          </a: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rPr>
            <a:t>The balancing operating reserves @ RT MW calculation (Step 2)  for operating reserves will use the RT MW for the five minute interval in calculating the Balancing Energy Revenue, RT Reserve Opportunity Cost and the Incremental Energy Cost.  </a:t>
          </a:r>
          <a:r>
            <a:rPr lang="en-US" sz="1400" baseline="0">
              <a:solidFill>
                <a:schemeClr val="bg1"/>
              </a:solidFill>
              <a:latin typeface="+mn-lt"/>
              <a:ea typeface="+mn-ea"/>
              <a:cs typeface="+mn-cs"/>
            </a:rPr>
            <a:t>In this case, the resource was not backed down to provide reserves. The resource was not following dispatch and at the time of the reserve assignment had enough head room to provide the reserves without backing down. The RT Opportunity Cost for the Step 2 Calculation is therefore $0.    </a:t>
          </a:r>
          <a:r>
            <a:rPr lang="en-US" sz="1400" baseline="0">
              <a:solidFill>
                <a:schemeClr val="bg1"/>
              </a:solidFill>
            </a:rPr>
            <a:t>Including the reserve opportunity cost in the Balancing Operating Reserve Step 2 calculation, just as was done in the Step 1 calculation, will cause the Step 2 (Actual) Bal Net Revenue to equal the actual profit/loss the unit earned from all markets</a:t>
          </a:r>
          <a:r>
            <a:rPr lang="en-US" sz="1400" baseline="0">
              <a:solidFill>
                <a:srgbClr val="FFFF00"/>
              </a:solidFill>
              <a:latin typeface="+mn-lt"/>
              <a:ea typeface="+mn-ea"/>
              <a:cs typeface="+mn-cs"/>
            </a:rPr>
            <a:t>, </a:t>
          </a:r>
          <a:r>
            <a:rPr lang="en-US" sz="1400" baseline="0">
              <a:solidFill>
                <a:schemeClr val="bg1"/>
              </a:solidFill>
              <a:latin typeface="+mn-lt"/>
              <a:ea typeface="+mn-ea"/>
              <a:cs typeface="+mn-cs"/>
            </a:rPr>
            <a:t>confirming that the Balancing Operating Reserve calculation has appropriately accounted for all revenues and costs incurred across the markets. </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u="sng" baseline="0">
              <a:solidFill>
                <a:schemeClr val="bg1"/>
              </a:solidFill>
              <a:latin typeface="+mn-lt"/>
              <a:ea typeface="+mn-ea"/>
              <a:cs typeface="+mn-cs"/>
            </a:rPr>
            <a:t>Impact of deviating from dispatch:</a:t>
          </a: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latin typeface="+mn-lt"/>
              <a:ea typeface="+mn-ea"/>
              <a:cs typeface="+mn-cs"/>
            </a:rPr>
            <a:t>If the resource had been following dispatch and would have been assigned the same reserves, the resource would have had an increased profit of $720 (as seen by comparing the Bal Net Revenue from Step 2 and Step 1). That increased profit in the Step 1 calculation stems from the additional 30 MW of energy output (increase from 50 to 80 MW) that the resource would have provided if it had been following dispatch and assigned the same 20 MW of reserves.  This additional profit will be used to offset any losses in other intervals when summing the Balancing Net Revenues across all intervals within the segment.  The Balancing Operating Reserve Credit the resource receives will be the lesser of the Step 1 and Step 2 calculations when each is summed for all intervals in the segment.</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latin typeface="+mn-lt"/>
            <a:ea typeface="+mn-ea"/>
            <a:cs typeface="+mn-cs"/>
          </a:endParaRPr>
        </a:p>
      </xdr:txBody>
    </xdr:sp>
    <xdr:clientData/>
  </xdr:oneCellAnchor>
  <xdr:oneCellAnchor>
    <xdr:from>
      <xdr:col>0</xdr:col>
      <xdr:colOff>0</xdr:colOff>
      <xdr:row>272</xdr:row>
      <xdr:rowOff>19048</xdr:rowOff>
    </xdr:from>
    <xdr:ext cx="14916150" cy="17945102"/>
    <xdr:sp macro="" textlink="">
      <xdr:nvSpPr>
        <xdr:cNvPr id="13" name="TextBox 12"/>
        <xdr:cNvSpPr txBox="1"/>
      </xdr:nvSpPr>
      <xdr:spPr>
        <a:xfrm>
          <a:off x="0" y="58835923"/>
          <a:ext cx="14916150" cy="17945102"/>
        </a:xfrm>
        <a:prstGeom prst="rect">
          <a:avLst/>
        </a:prstGeom>
        <a:solidFill>
          <a:srgbClr val="0070C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solidFill>
                <a:schemeClr val="bg1"/>
              </a:solidFill>
            </a:rPr>
            <a:t>Takeaway:</a:t>
          </a:r>
        </a:p>
        <a:p>
          <a:endParaRPr lang="en-US" sz="1400">
            <a:solidFill>
              <a:schemeClr val="bg1"/>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u="sng" baseline="0">
              <a:solidFill>
                <a:schemeClr val="bg1"/>
              </a:solidFill>
              <a:latin typeface="+mn-lt"/>
              <a:ea typeface="+mn-ea"/>
              <a:cs typeface="+mn-cs"/>
            </a:rPr>
            <a:t>Step 1 (Tracking Desired) Balancing Operating Reserve Calculation:</a:t>
          </a:r>
        </a:p>
        <a:p>
          <a:r>
            <a:rPr lang="en-US" sz="1400">
              <a:solidFill>
                <a:schemeClr val="bg1"/>
              </a:solidFill>
            </a:rPr>
            <a:t>In the balancing</a:t>
          </a:r>
          <a:r>
            <a:rPr lang="en-US" sz="1400" baseline="0">
              <a:solidFill>
                <a:schemeClr val="bg1"/>
              </a:solidFill>
            </a:rPr>
            <a:t> operating reserves @ tracking desired calculation (Step 1), the tracking desired needs to be adjusted to account for the reserve assignment the resource received in real-time.  In this example, Economic (unadjusted) Tracking Desired MW is equal to the resource's Eco Max, which would leave no room for the resource to provide reserves. The Tracking Desired MW therefore needs to be reduced to create room for the resource to provide the 30 MW reserve assignment. Tracking Desired MW is therefore reduced to 70 MW.  In the above calculations supporting Step 1 (and the associated Potential settlements boxes),  this Tracking Desired MW of 70 is used to calculate Balancing Revenue, RT Reserve Opportunity cost and the Incremental energy cost. </a:t>
          </a:r>
        </a:p>
        <a:p>
          <a:endParaRPr lang="en-US" sz="1400" baseline="0">
            <a:solidFill>
              <a:schemeClr val="bg1"/>
            </a:solidFill>
          </a:endParaRPr>
        </a:p>
        <a:p>
          <a:r>
            <a:rPr lang="en-US" sz="1400" baseline="0">
              <a:solidFill>
                <a:schemeClr val="bg1"/>
              </a:solidFill>
            </a:rPr>
            <a:t>The DA Opportunity cost will be the same for both Step 1 and Step 2 (Potential and Actual) calculation of the reserve settlements.</a:t>
          </a:r>
        </a:p>
        <a:p>
          <a:r>
            <a:rPr lang="en-US" sz="1400" baseline="0">
              <a:solidFill>
                <a:schemeClr val="bg1"/>
              </a:solidFill>
            </a:rPr>
            <a:t>DA Opportunity costs for resources that were backed down in the DA market equal the revenue for the deviation between the cleared MW and where the resource would have been if not assigned reserves minus the cost of those deviations.</a:t>
          </a:r>
        </a:p>
        <a:p>
          <a:pPr lvl="1"/>
          <a:endParaRPr lang="en-US" sz="1400" baseline="0">
            <a:solidFill>
              <a:schemeClr val="bg1"/>
            </a:solidFill>
          </a:endParaRPr>
        </a:p>
        <a:p>
          <a:pPr lvl="1"/>
          <a:r>
            <a:rPr lang="en-US" sz="1400" baseline="0">
              <a:solidFill>
                <a:schemeClr val="bg1"/>
              </a:solidFill>
            </a:rPr>
            <a:t>DA Opportunity Cost Revenue:  (DA Desired MW - DA MW) * DA LMP = (100 - 80) * $45 = $900</a:t>
          </a: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tx1"/>
            </a:solidFill>
            <a:effectLst/>
            <a:latin typeface="+mn-lt"/>
            <a:ea typeface="+mn-ea"/>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latin typeface="+mn-lt"/>
              <a:ea typeface="+mn-ea"/>
              <a:cs typeface="+mn-cs"/>
            </a:rPr>
            <a:t>- DA Desired MW is the MW the resource would have cleared for energy absent reserves.</a:t>
          </a:r>
        </a:p>
        <a:p>
          <a:pPr lvl="1"/>
          <a:endParaRPr lang="en-US" sz="1400" baseline="0">
            <a:solidFill>
              <a:schemeClr val="bg1"/>
            </a:solidFill>
          </a:endParaRPr>
        </a:p>
        <a:p>
          <a:pPr lvl="1"/>
          <a:r>
            <a:rPr lang="en-US" sz="1400" baseline="0">
              <a:solidFill>
                <a:schemeClr val="bg1"/>
              </a:solidFill>
            </a:rPr>
            <a:t>DA Cost to Provide: (DA Desired MW - DA MW) * ((DA Desired Incremental Price + DA MW Incremental Price)/2) = (100 - 80) * (($30 + $26)/2) = 20 * $28 = $560</a:t>
          </a:r>
        </a:p>
        <a:p>
          <a:pPr lvl="1"/>
          <a:endParaRPr lang="en-US" sz="1400" baseline="0">
            <a:solidFill>
              <a:schemeClr val="bg1"/>
            </a:solidFill>
          </a:endParaRPr>
        </a:p>
        <a:p>
          <a:pPr lvl="1"/>
          <a:r>
            <a:rPr lang="en-US" sz="1400" baseline="0">
              <a:solidFill>
                <a:schemeClr val="bg1"/>
              </a:solidFill>
            </a:rPr>
            <a:t>DA Opportunity Cost = $900 - $560 = $340</a:t>
          </a:r>
        </a:p>
        <a:p>
          <a:endParaRPr lang="en-US" sz="1400" baseline="0">
            <a:solidFill>
              <a:schemeClr val="bg1"/>
            </a:solidFill>
          </a:endParaRPr>
        </a:p>
        <a:p>
          <a:r>
            <a:rPr lang="en-US" sz="1400" b="0" baseline="0">
              <a:solidFill>
                <a:schemeClr val="bg1"/>
              </a:solidFill>
            </a:rPr>
            <a:t>For the purpose of this example, the simplified RT Opportunity cost equation is the difference between a) the revenue for the deviation between the Economic Tracking Desired less any DA Assignment and Tracking Desired and b) the cost to provide the MW from Tracking Desired to the Economic Tracking Desired less any DA assignment.</a:t>
          </a:r>
        </a:p>
        <a:p>
          <a:endParaRPr lang="en-US" sz="1400" b="0" baseline="0">
            <a:solidFill>
              <a:schemeClr val="bg1"/>
            </a:solidFill>
          </a:endParaRPr>
        </a:p>
        <a:p>
          <a:pPr lvl="1"/>
          <a:r>
            <a:rPr lang="en-US" sz="1400" b="0" baseline="0">
              <a:solidFill>
                <a:schemeClr val="bg1"/>
              </a:solidFill>
            </a:rPr>
            <a:t>RT Opportunity Cost Revenue: Revenue: ((</a:t>
          </a:r>
          <a:r>
            <a:rPr lang="en-US" sz="1400" b="0" baseline="0">
              <a:solidFill>
                <a:schemeClr val="bg1"/>
              </a:solidFill>
              <a:latin typeface="+mn-lt"/>
              <a:ea typeface="+mn-ea"/>
              <a:cs typeface="+mn-cs"/>
            </a:rPr>
            <a:t>Economic Tracking Desired - DA Assignment) - Tracking desired  ) * RT LMP =  </a:t>
          </a:r>
          <a:r>
            <a:rPr lang="en-US" sz="1400" b="0" baseline="0">
              <a:solidFill>
                <a:schemeClr val="bg1"/>
              </a:solidFill>
            </a:rPr>
            <a:t>((100 - 20) - 70) * $47 = 10 * $47 = $470</a:t>
          </a:r>
        </a:p>
        <a:p>
          <a:pPr lvl="1"/>
          <a:endParaRPr lang="en-US" sz="1400" b="0" baseline="0">
            <a:solidFill>
              <a:srgbClr val="FFFF00"/>
            </a:solidFill>
          </a:endParaRPr>
        </a:p>
        <a:p>
          <a:pPr lvl="1"/>
          <a:r>
            <a:rPr lang="en-US" sz="1400" b="0" baseline="0">
              <a:solidFill>
                <a:schemeClr val="bg1"/>
              </a:solidFill>
              <a:latin typeface="+mn-lt"/>
              <a:ea typeface="+mn-ea"/>
              <a:cs typeface="+mn-cs"/>
            </a:rPr>
            <a:t>Cost to provide: ((Economic Tracking Desired - DA Assignment) - Tracking desired )  * ((Economic Tracking Desired  Price + Tracking desired Price )/2) = </a:t>
          </a:r>
        </a:p>
        <a:p>
          <a:pPr lvl="1"/>
          <a:r>
            <a:rPr lang="en-US" sz="1400" b="0" baseline="0">
              <a:solidFill>
                <a:schemeClr val="bg1"/>
              </a:solidFill>
              <a:latin typeface="+mn-lt"/>
              <a:ea typeface="+mn-ea"/>
              <a:cs typeface="+mn-cs"/>
            </a:rPr>
            <a:t>                           ((100 - 20) - 70) * (($26 + $24)/2) = 10 * $25 = $250</a:t>
          </a:r>
        </a:p>
        <a:p>
          <a:pPr lvl="1"/>
          <a:endParaRPr lang="en-US" sz="1400" b="0" baseline="0">
            <a:solidFill>
              <a:schemeClr val="bg1"/>
            </a:solidFill>
            <a:latin typeface="+mn-lt"/>
            <a:ea typeface="+mn-ea"/>
            <a:cs typeface="+mn-cs"/>
          </a:endParaRPr>
        </a:p>
        <a:p>
          <a:pPr lvl="1"/>
          <a:r>
            <a:rPr lang="en-US" sz="1400" b="0" baseline="0">
              <a:solidFill>
                <a:schemeClr val="bg1"/>
              </a:solidFill>
              <a:latin typeface="+mn-lt"/>
              <a:ea typeface="+mn-ea"/>
              <a:cs typeface="+mn-cs"/>
            </a:rPr>
            <a:t>RT Opportunity (Cost Potential): Revenue - Cost to Provide ($470 - $250) = $220</a:t>
          </a:r>
        </a:p>
        <a:p>
          <a:endParaRPr lang="en-US" sz="1400" baseline="0">
            <a:solidFill>
              <a:schemeClr val="bg1"/>
            </a:solidFill>
            <a:latin typeface="+mn-lt"/>
            <a:ea typeface="+mn-ea"/>
            <a:cs typeface="+mn-cs"/>
          </a:endParaRPr>
        </a:p>
        <a:p>
          <a:r>
            <a:rPr lang="en-US" sz="1400" baseline="0">
              <a:solidFill>
                <a:schemeClr val="bg1"/>
              </a:solidFill>
              <a:latin typeface="+mn-lt"/>
              <a:ea typeface="+mn-ea"/>
              <a:cs typeface="+mn-cs"/>
            </a:rPr>
            <a:t>The $560 total opportunity cost ($340 DA opportunity cost + $220 RT opportunity cost) is the energy profit that resource potentially gave up to provide reserves in DA and RT if it had been operating consistent with the tracking desired MW and the reserve assignment. However, because the resource would have received $800 in DA and Balancing Reserve Market Clearing Price Credits, the resource would have earned revenues to cover that opportunity cost and made an extra $240 in excess of the forgone energy profit by participating in the reserve market. </a:t>
          </a:r>
        </a:p>
        <a:p>
          <a:endParaRPr lang="en-US" sz="1400" baseline="0">
            <a:solidFill>
              <a:schemeClr val="bg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latin typeface="+mn-lt"/>
              <a:ea typeface="+mn-ea"/>
              <a:cs typeface="+mn-cs"/>
            </a:rPr>
            <a:t>The $240 in Reserve Market Revenue Above Cost is already accounted for in today's Balancing Operating Reserve Calculation; however, the day-ahead and real-time reserve opportunity costs also need to be accounted for going forward in order to ensure the Balancing Operating Reserve calculation has a complete accounting of all of the revenues available to offset costs in the energy market.  This is a proposed change to the Balancing Operating Reserve calculation.  Once both the DA and RT reserve opportunity costs are included in the Balancing Operating Reserve Step 1 calculation, it causes the Step 1 (Potential) Bal Net Revenue to equal the potential profit/loss the unit earned from all markets, confirming that the Balancing Operating Reserve calculation has appropriately accounted for all revenues and costs incurred across the markets. </a:t>
          </a:r>
        </a:p>
        <a:p>
          <a:endParaRPr lang="en-US" sz="1400" baseline="0">
            <a:solidFill>
              <a:schemeClr val="bg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latin typeface="+mn-lt"/>
              <a:ea typeface="+mn-ea"/>
              <a:cs typeface="+mn-cs"/>
            </a:rPr>
            <a:t>The opportunity cost for reserves needs to be accounted for in Balancing operating reserves since it is the forgone energy profit. This is profit that would have been used to cover any additional startup and no load costs. There is also the potential for double counting when a resource is cleared more MW for energy in DA and provides less energy in RT in order to provide more reserves in RT.  The opportunity cost for real-time accounts for the buying out of energy between the DA and RT energy market. If the opportunity cost was not included in the Balancing Operating Reserve calculation, then the resource would receive that forgone profit in the reserve market as well as balancing operating reserves.</a:t>
          </a:r>
        </a:p>
        <a:p>
          <a:endParaRPr lang="en-US" sz="1400" baseline="0">
            <a:solidFill>
              <a:schemeClr val="bg1"/>
            </a:solidFill>
            <a:latin typeface="+mn-lt"/>
            <a:ea typeface="+mn-ea"/>
            <a:cs typeface="+mn-cs"/>
          </a:endParaRPr>
        </a:p>
        <a:p>
          <a:pPr lvl="1"/>
          <a:r>
            <a:rPr lang="en-US" sz="1400" baseline="0">
              <a:solidFill>
                <a:schemeClr val="bg1"/>
              </a:solidFill>
              <a:latin typeface="+mn-lt"/>
              <a:ea typeface="+mn-ea"/>
              <a:cs typeface="+mn-cs"/>
            </a:rPr>
            <a:t>In this example, the double counting of buying out of the DA energy market to provide the extra 10 MW of RT reserve assignment is imbedded within the Balancing Operating Reserve Calculation in Step 1 through Balancing Revenue (DA energy buyout) and the difference in the incremental energy cost of the 80 MW provided DA and the 70 MW provided when following the Tracking Desired MW.  </a:t>
          </a:r>
        </a:p>
        <a:p>
          <a:pPr lvl="1"/>
          <a:endParaRPr lang="en-US" sz="1400" baseline="0">
            <a:solidFill>
              <a:schemeClr val="bg1"/>
            </a:solidFill>
            <a:latin typeface="+mn-lt"/>
            <a:ea typeface="+mn-ea"/>
            <a:cs typeface="+mn-cs"/>
          </a:endParaRPr>
        </a:p>
        <a:p>
          <a:pPr lvl="1"/>
          <a:r>
            <a:rPr lang="en-US" sz="1400" baseline="0">
              <a:solidFill>
                <a:schemeClr val="bg1"/>
              </a:solidFill>
              <a:latin typeface="+mn-lt"/>
              <a:ea typeface="+mn-ea"/>
              <a:cs typeface="+mn-cs"/>
            </a:rPr>
            <a:t>The balancing revenue, or cost of buying out of the DA energy position, is ($470).  The difference in incremental costs between producing 80 MW (DA) and 70 MW (Tracking Desired MW)   results in </a:t>
          </a:r>
          <a:r>
            <a:rPr lang="en-US" sz="1400" strike="noStrike" baseline="0">
              <a:solidFill>
                <a:schemeClr val="bg1"/>
              </a:solidFill>
              <a:latin typeface="+mn-lt"/>
              <a:ea typeface="+mn-ea"/>
              <a:cs typeface="+mn-cs"/>
            </a:rPr>
            <a:t>incremental cost savings of $250 </a:t>
          </a:r>
          <a:r>
            <a:rPr lang="en-US" sz="1400" baseline="0">
              <a:solidFill>
                <a:schemeClr val="bg1"/>
              </a:solidFill>
              <a:latin typeface="+mn-lt"/>
              <a:ea typeface="+mn-ea"/>
              <a:cs typeface="+mn-cs"/>
            </a:rPr>
            <a:t>($1690 - $1440 = $250).  These incremental cost savings offset the cost of buying out of the DA market, bringing the net cost of buying out of the day-ahead market to ($220).  [($470) + $250 = ($220)]  This ($220) net cost of buying out of the DA market reduces the final Bal Net Revenue in the Operating Reserve Calculation by ($220).  If the resource's total revenues do not exceed its costs, the Balancing Operating Reserve calculation will make the resource whole for this cost of buying out of the day-ahead market; however, this is the same amount already captured in the RT Reserve Opportunity Cost that the reserve market is using to make the resource indifferent to providing energy and reserves.  The resource is already being made whole for this $220 opportunity cost in the reserve market. If they are made whole for it again in the reserve market, it will amount to double compensation.</a:t>
          </a:r>
        </a:p>
        <a:p>
          <a:endParaRPr lang="en-US" sz="1400" baseline="0">
            <a:solidFill>
              <a:schemeClr val="bg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u="sng" baseline="0">
              <a:solidFill>
                <a:schemeClr val="bg1"/>
              </a:solidFill>
              <a:latin typeface="+mn-lt"/>
              <a:ea typeface="+mn-ea"/>
              <a:cs typeface="+mn-cs"/>
            </a:rPr>
            <a:t>Step 2 (Actual) Balancing Operating Reserve Calculation:</a:t>
          </a: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rPr>
            <a:t>The balancing operating reserves @ RT MW calculation (Step 2)  for operating reserves will use the actual RT energy MW for the five minute interval and the capped RT reserve assignment in calculating the Balancing Energy Revenue, RT Reserve Opportunity Cost and the Incremental Energy Cost</a:t>
          </a:r>
          <a:r>
            <a:rPr lang="en-US" sz="1400" baseline="0">
              <a:solidFill>
                <a:schemeClr val="bg1"/>
              </a:solidFill>
              <a:latin typeface="+mn-lt"/>
              <a:ea typeface="+mn-ea"/>
              <a:cs typeface="+mn-cs"/>
            </a:rPr>
            <a:t>.  In this case, the resource only backed down to make room for the original assigned DA Reserves assignment of 20 MW, rather than the RT reserve assignment of 30 MW. The resource was not following dispatch to provide the additional reserve assignment and therefore the RT Capped Reserve assignment used in settlements was 20 MW. Because the RT Capped Reserve Assignment did not represent an increase over the DA reserve assignment, the RT Opportunity Cost for the Step 2 Calculation is $0.  </a:t>
          </a:r>
          <a:r>
            <a:rPr lang="en-US" sz="1400" baseline="0">
              <a:solidFill>
                <a:schemeClr val="bg1"/>
              </a:solidFill>
            </a:rPr>
            <a:t>Including both the DA and RT Reserve Opportunity Cost in the Balancing Operating Reserve Step 2 calculation, just as was done in the Step 1 calculation, is necessary to ensure the Bal Net Revenue from the Step 2 calculation equals the actual profit/loss the unit earned from all </a:t>
          </a:r>
          <a:r>
            <a:rPr lang="en-US" sz="1400" baseline="0">
              <a:solidFill>
                <a:schemeClr val="bg1"/>
              </a:solidFill>
              <a:latin typeface="+mn-lt"/>
              <a:ea typeface="+mn-ea"/>
              <a:cs typeface="+mn-cs"/>
            </a:rPr>
            <a:t>markets, confirming that the Balancing Operating Reserve calculation has appropriately accounted for all revenues and costs incurred across the markets. </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u="sng" baseline="0">
              <a:solidFill>
                <a:schemeClr val="bg1"/>
              </a:solidFill>
              <a:latin typeface="+mn-lt"/>
              <a:ea typeface="+mn-ea"/>
              <a:cs typeface="+mn-cs"/>
            </a:rPr>
            <a:t>Impact of deviating from dispatch:</a:t>
          </a: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latin typeface="+mn-lt"/>
              <a:ea typeface="+mn-ea"/>
              <a:cs typeface="+mn-cs"/>
            </a:rPr>
            <a:t>If the resource had been following Tracking Desired MW and would have been assigned the same reserves as it was assigned in RT, the resource would have had an increased profit of $80 (this is the difference between the $2490 Bal Net Revenue from the Step 1 calculation and the $2410 Bal Net Revenue from the Step 2 calculation). That increased profit would have stemmed from the additional Reserve Revenue Above Cost earned from the 10 MW increase in reserve assignment.</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latin typeface="+mn-lt"/>
              <a:ea typeface="+mn-ea"/>
              <a:cs typeface="+mn-cs"/>
            </a:rPr>
            <a:t>The intent of the balancing operating reserve calculations is to ensure that the resource is made-whole to the submitted offer, while following PJM dispatch instructions. The calculations account for all costs and revenue earned in a potential scenario of following dispatch (Step 1) compared to the the actual costs and revenues accrued based on the resource actual output (Step 2). This profit/loss calculation is by interval and then is accumulated across a segment (Step 3). The purpose of the Potential (Tracking Desired) methodology is to account for the make-whole that would be needed, if the resource followed dispatch, to establish a "willing to pay" value for the segment. The Actual methodology is to account for how the resource performed. The make-whole will be the lesser of the Potential or Actual make-whole, or lack there of, that is needed.</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5125700" cy="25212675"/>
    <xdr:sp macro="" textlink="">
      <xdr:nvSpPr>
        <xdr:cNvPr id="2" name="TextBox 1"/>
        <xdr:cNvSpPr txBox="1"/>
      </xdr:nvSpPr>
      <xdr:spPr>
        <a:xfrm>
          <a:off x="0" y="0"/>
          <a:ext cx="15125700" cy="25212675"/>
        </a:xfrm>
        <a:prstGeom prst="rect">
          <a:avLst/>
        </a:prstGeom>
        <a:solidFill>
          <a:srgbClr val="0070C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aseline="0">
              <a:solidFill>
                <a:schemeClr val="bg1"/>
              </a:solidFill>
              <a:latin typeface="+mn-lt"/>
              <a:ea typeface="+mn-ea"/>
              <a:cs typeface="+mn-cs"/>
            </a:rPr>
            <a:t>This tab explains the status quo calculations for the Market Revenue Neutrality Offset and Opportunity Cost Owed calculations.  There is no change proposed to these calculations.  However, a general understanding of these calculations and their function is necessary to understand how reserve market revenues and costs should be accounted for in the balancing operating reserve calculation.  These values will come into play in the examples on the 3rd tab in this workbook.</a:t>
          </a:r>
        </a:p>
        <a:p>
          <a:endParaRPr lang="en-US" sz="1400" baseline="0">
            <a:solidFill>
              <a:schemeClr val="bg1"/>
            </a:solidFill>
            <a:latin typeface="+mn-lt"/>
            <a:ea typeface="+mn-ea"/>
            <a:cs typeface="+mn-cs"/>
          </a:endParaRPr>
        </a:p>
        <a:p>
          <a:r>
            <a:rPr lang="en-US" sz="1400" b="1" baseline="0">
              <a:solidFill>
                <a:schemeClr val="bg1"/>
              </a:solidFill>
              <a:latin typeface="+mn-lt"/>
              <a:ea typeface="+mn-ea"/>
              <a:cs typeface="+mn-cs"/>
            </a:rPr>
            <a:t>Market Revenue Neutrality:</a:t>
          </a:r>
        </a:p>
        <a:p>
          <a:pPr rtl="0" eaLnBrk="1" fontAlgn="base" hangingPunct="1"/>
          <a:r>
            <a:rPr lang="en-US" sz="1400" baseline="0">
              <a:solidFill>
                <a:schemeClr val="bg1"/>
              </a:solidFill>
              <a:latin typeface="+mn-lt"/>
              <a:ea typeface="+mn-ea"/>
              <a:cs typeface="+mn-cs"/>
            </a:rPr>
            <a:t>A resource’s energy and reserve assignments can differ between the day-ahead and real-time markets.  To the extent a resource’s assignment in one market is increased in real-time (as compared to day-ahead), its assignment in another market may need to be decreased in order to ensure the resource’s capability is not exceeded.  This generally leads to balancing settlements with additional revenue earned in the market where the assignment was increased and decreased revenue in the market where the assignment was decreased (in the form of a buy back from the day-ahead position).  The cost of the buy back from the day-ahead reserve position caused by the reduction in assignment is included in the Lost Opportunity Cost Credit calculation for each reserve market.</a:t>
          </a:r>
        </a:p>
        <a:p>
          <a:endParaRPr lang="en-US" sz="1400" baseline="0">
            <a:solidFill>
              <a:schemeClr val="bg1"/>
            </a:solidFill>
            <a:latin typeface="+mn-lt"/>
            <a:ea typeface="+mn-ea"/>
            <a:cs typeface="+mn-cs"/>
          </a:endParaRPr>
        </a:p>
        <a:p>
          <a:r>
            <a:rPr lang="en-US" sz="1400" baseline="0">
              <a:solidFill>
                <a:schemeClr val="bg1"/>
              </a:solidFill>
              <a:latin typeface="+mn-lt"/>
              <a:ea typeface="+mn-ea"/>
              <a:cs typeface="+mn-cs"/>
            </a:rPr>
            <a:t>However, the cost of the buy back from the day-ahead reserve position may not need to be made whole if the resource earned sufficient additional profits to cover that buy back in other markets where their assignment was increased in real-time.</a:t>
          </a:r>
        </a:p>
        <a:p>
          <a:endParaRPr lang="en-US" sz="1400" baseline="0">
            <a:solidFill>
              <a:schemeClr val="bg1"/>
            </a:solidFill>
            <a:latin typeface="+mn-lt"/>
            <a:ea typeface="+mn-ea"/>
            <a:cs typeface="+mn-cs"/>
          </a:endParaRPr>
        </a:p>
        <a:p>
          <a:r>
            <a:rPr lang="en-US" sz="1400" baseline="0">
              <a:solidFill>
                <a:schemeClr val="bg1"/>
              </a:solidFill>
              <a:latin typeface="+mn-lt"/>
              <a:ea typeface="+mn-ea"/>
              <a:cs typeface="+mn-cs"/>
            </a:rPr>
            <a:t>The Market Revenue Neutrality Offset is the mechanism used to transfer profits from markets that saw an increased profit due to the increase in assignment to offset (or lower) the Lost Opportunity Cost Credit owed in the reserve market.  </a:t>
          </a:r>
        </a:p>
        <a:p>
          <a:endParaRPr lang="en-US" sz="1400" baseline="0">
            <a:solidFill>
              <a:schemeClr val="bg1"/>
            </a:solidFill>
            <a:latin typeface="+mn-lt"/>
            <a:ea typeface="+mn-ea"/>
            <a:cs typeface="+mn-cs"/>
          </a:endParaRPr>
        </a:p>
        <a:p>
          <a:r>
            <a:rPr lang="en-US" sz="1400" baseline="0">
              <a:solidFill>
                <a:schemeClr val="bg1"/>
              </a:solidFill>
              <a:latin typeface="+mn-lt"/>
              <a:ea typeface="+mn-ea"/>
              <a:cs typeface="+mn-cs"/>
            </a:rPr>
            <a:t>When reserve MW decreases and energy MW increases, the profit transferrance comes in the form of formerly forgone profit (i.e. reserve opportunity cost) now being realized as actual energy profit (i.e. energy revenue above cost). This realized energy profit can be used to offset any buy out from the day-ahead reserve market. When the transference is from one ancillary market to another ancillary market the revenue above cost of the additional assignment is used to offset any LOC from the buy-out out the day-ahead market from the decreased assignment. Using the revenue above cost keeps the resource indifferent between energy and ancillary markets. It also creates indifference between the ancillary markets that the resource is assigned in.</a:t>
          </a:r>
        </a:p>
        <a:p>
          <a:endParaRPr lang="en-US" sz="1400" baseline="0">
            <a:solidFill>
              <a:schemeClr val="bg1"/>
            </a:solidFill>
            <a:latin typeface="+mn-lt"/>
            <a:ea typeface="+mn-ea"/>
            <a:cs typeface="+mn-cs"/>
          </a:endParaRPr>
        </a:p>
        <a:p>
          <a:r>
            <a:rPr lang="en-US" sz="1400" baseline="0">
              <a:solidFill>
                <a:schemeClr val="bg1"/>
              </a:solidFill>
              <a:latin typeface="+mn-lt"/>
              <a:ea typeface="+mn-ea"/>
              <a:cs typeface="+mn-cs"/>
            </a:rPr>
            <a:t>More detail on Market Revenue Neutrality is available in M-28 Section 15: Market Revenue Neutrality Offset Accounting.</a:t>
          </a:r>
        </a:p>
        <a:p>
          <a:endParaRPr lang="en-US" sz="1400" baseline="0">
            <a:solidFill>
              <a:schemeClr val="bg1"/>
            </a:solidFill>
            <a:latin typeface="+mn-lt"/>
            <a:ea typeface="+mn-ea"/>
            <a:cs typeface="+mn-cs"/>
          </a:endParaRPr>
        </a:p>
        <a:p>
          <a:r>
            <a:rPr lang="en-US" sz="1400" baseline="0">
              <a:solidFill>
                <a:schemeClr val="bg1"/>
              </a:solidFill>
              <a:latin typeface="+mn-lt"/>
              <a:ea typeface="+mn-ea"/>
              <a:cs typeface="+mn-cs"/>
            </a:rPr>
            <a:t>Here is an example of Market Revenue Neutrality that will be used in the example # 3 on the Reserve Decrease in RT tab.</a:t>
          </a:r>
        </a:p>
        <a:p>
          <a:endParaRPr lang="en-US" sz="1400" baseline="0">
            <a:solidFill>
              <a:schemeClr val="bg1"/>
            </a:solidFill>
            <a:latin typeface="+mn-lt"/>
            <a:ea typeface="+mn-ea"/>
            <a:cs typeface="+mn-cs"/>
          </a:endParaRPr>
        </a:p>
        <a:p>
          <a:r>
            <a:rPr lang="en-US" sz="1400" u="sng" baseline="0">
              <a:solidFill>
                <a:schemeClr val="bg1"/>
              </a:solidFill>
              <a:latin typeface="+mn-lt"/>
              <a:ea typeface="+mn-ea"/>
              <a:cs typeface="+mn-cs"/>
            </a:rPr>
            <a:t>Ancillary Service:</a:t>
          </a:r>
        </a:p>
        <a:p>
          <a:r>
            <a:rPr lang="en-US" sz="1400" baseline="0">
              <a:solidFill>
                <a:schemeClr val="bg1"/>
              </a:solidFill>
              <a:latin typeface="+mn-lt"/>
              <a:ea typeface="+mn-ea"/>
              <a:cs typeface="+mn-cs"/>
            </a:rPr>
            <a:t>DA Reserve Assignment = 20</a:t>
          </a:r>
        </a:p>
        <a:p>
          <a:r>
            <a:rPr lang="en-US" sz="1400" baseline="0">
              <a:solidFill>
                <a:schemeClr val="bg1"/>
              </a:solidFill>
              <a:latin typeface="+mn-lt"/>
              <a:ea typeface="+mn-ea"/>
              <a:cs typeface="+mn-cs"/>
            </a:rPr>
            <a:t>DA Opportunity Cost = $340</a:t>
          </a:r>
        </a:p>
        <a:p>
          <a:r>
            <a:rPr lang="en-US" sz="1400" baseline="0">
              <a:solidFill>
                <a:schemeClr val="bg1"/>
              </a:solidFill>
              <a:latin typeface="+mn-lt"/>
              <a:ea typeface="+mn-ea"/>
              <a:cs typeface="+mn-cs"/>
            </a:rPr>
            <a:t>DA Clearing Price Credit = $500</a:t>
          </a:r>
        </a:p>
        <a:p>
          <a:pPr algn="l"/>
          <a:r>
            <a:rPr lang="en-US" sz="1400" baseline="0">
              <a:solidFill>
                <a:schemeClr val="bg1"/>
              </a:solidFill>
              <a:latin typeface="+mn-lt"/>
              <a:ea typeface="+mn-ea"/>
              <a:cs typeface="+mn-cs"/>
            </a:rPr>
            <a:t>RT Reserve Assignment = 0 (decrease of 20 MW from DA)</a:t>
          </a:r>
        </a:p>
        <a:p>
          <a:r>
            <a:rPr lang="en-US" sz="1400" baseline="0">
              <a:solidFill>
                <a:schemeClr val="bg1"/>
              </a:solidFill>
              <a:latin typeface="+mn-lt"/>
              <a:ea typeface="+mn-ea"/>
              <a:cs typeface="+mn-cs"/>
            </a:rPr>
            <a:t>Balancing Clearing Price Credit = ($400)</a:t>
          </a:r>
        </a:p>
        <a:p>
          <a:endParaRPr lang="en-US" sz="1400" baseline="0">
            <a:solidFill>
              <a:schemeClr val="bg1"/>
            </a:solidFill>
            <a:latin typeface="+mn-lt"/>
            <a:ea typeface="+mn-ea"/>
            <a:cs typeface="+mn-cs"/>
          </a:endParaRPr>
        </a:p>
        <a:p>
          <a:r>
            <a:rPr lang="en-US" sz="1400" baseline="0">
              <a:solidFill>
                <a:schemeClr val="bg1"/>
              </a:solidFill>
              <a:latin typeface="+mn-lt"/>
              <a:ea typeface="+mn-ea"/>
              <a:cs typeface="+mn-cs"/>
            </a:rPr>
            <a:t>LOC Credit Due to reduction in MW = MIN($340 - $500 - ($400), ABS[($400)]) = MIN ($240, $400) = $240</a:t>
          </a:r>
        </a:p>
        <a:p>
          <a:pPr marL="457200" marR="0" lvl="1" indent="0" defTabSz="914400" rtl="0" eaLnBrk="1" fontAlgn="auto" latinLnBrk="0" hangingPunct="1">
            <a:lnSpc>
              <a:spcPct val="100000"/>
            </a:lnSpc>
            <a:spcBef>
              <a:spcPts val="0"/>
            </a:spcBef>
            <a:spcAft>
              <a:spcPts val="0"/>
            </a:spcAft>
            <a:buClrTx/>
            <a:buSzTx/>
            <a:buFontTx/>
            <a:buNone/>
            <a:tabLst/>
            <a:defRPr/>
          </a:pPr>
          <a:r>
            <a:rPr lang="en-US" sz="1400" baseline="0">
              <a:solidFill>
                <a:schemeClr val="bg1"/>
              </a:solidFill>
              <a:latin typeface="+mn-lt"/>
              <a:ea typeface="+mn-ea"/>
              <a:cs typeface="+mn-cs"/>
            </a:rPr>
            <a:t>This value is capped at the additional buy back created by the shift in assignments ($400), so no more revenue than what is needed to offset the loss is used in this transfer.</a:t>
          </a:r>
        </a:p>
        <a:p>
          <a:endParaRPr lang="en-US" sz="1400" baseline="0">
            <a:solidFill>
              <a:schemeClr val="bg1"/>
            </a:solidFill>
            <a:latin typeface="+mn-lt"/>
            <a:ea typeface="+mn-ea"/>
            <a:cs typeface="+mn-cs"/>
          </a:endParaRPr>
        </a:p>
        <a:p>
          <a:endParaRPr lang="en-US" sz="1400" baseline="0">
            <a:solidFill>
              <a:schemeClr val="bg1"/>
            </a:solidFill>
            <a:latin typeface="+mn-lt"/>
            <a:ea typeface="+mn-ea"/>
            <a:cs typeface="+mn-cs"/>
          </a:endParaRPr>
        </a:p>
        <a:p>
          <a:r>
            <a:rPr lang="en-US" sz="1400" u="sng" baseline="0">
              <a:solidFill>
                <a:schemeClr val="bg1"/>
              </a:solidFill>
              <a:latin typeface="+mn-lt"/>
              <a:ea typeface="+mn-ea"/>
              <a:cs typeface="+mn-cs"/>
            </a:rPr>
            <a:t>Energy Market:</a:t>
          </a:r>
        </a:p>
        <a:p>
          <a:r>
            <a:rPr lang="en-US" sz="1400" baseline="0">
              <a:solidFill>
                <a:schemeClr val="bg1"/>
              </a:solidFill>
              <a:latin typeface="+mn-lt"/>
              <a:ea typeface="+mn-ea"/>
              <a:cs typeface="+mn-cs"/>
            </a:rPr>
            <a:t>DA MW = 80 </a:t>
          </a:r>
        </a:p>
        <a:p>
          <a:r>
            <a:rPr lang="en-US" sz="1400" baseline="0">
              <a:solidFill>
                <a:schemeClr val="bg1"/>
              </a:solidFill>
              <a:latin typeface="+mn-lt"/>
              <a:ea typeface="+mn-ea"/>
              <a:cs typeface="+mn-cs"/>
            </a:rPr>
            <a:t>Tracking Desired MW = 100 (increase of 20 MW from DA)</a:t>
          </a:r>
        </a:p>
        <a:p>
          <a:r>
            <a:rPr lang="en-US" sz="1400" baseline="0">
              <a:solidFill>
                <a:schemeClr val="bg1"/>
              </a:solidFill>
              <a:latin typeface="+mn-lt"/>
              <a:ea typeface="+mn-ea"/>
              <a:cs typeface="+mn-cs"/>
            </a:rPr>
            <a:t>Balancing Revenue = $940</a:t>
          </a:r>
        </a:p>
        <a:p>
          <a:r>
            <a:rPr lang="en-US" sz="1400" baseline="0">
              <a:solidFill>
                <a:schemeClr val="bg1"/>
              </a:solidFill>
              <a:latin typeface="+mn-lt"/>
              <a:ea typeface="+mn-ea"/>
              <a:cs typeface="+mn-cs"/>
            </a:rPr>
            <a:t>RT Incremental Cost (80 to 100) = $560 </a:t>
          </a:r>
          <a:r>
            <a:rPr lang="en-US" sz="1200" b="0" i="1" baseline="0">
              <a:solidFill>
                <a:schemeClr val="accent6">
                  <a:lumMod val="40000"/>
                  <a:lumOff val="60000"/>
                </a:schemeClr>
              </a:solidFill>
              <a:latin typeface="+mn-lt"/>
              <a:ea typeface="+mn-ea"/>
              <a:cs typeface="+mn-cs"/>
            </a:rPr>
            <a:t>.</a:t>
          </a:r>
          <a:endParaRPr lang="en-US" sz="1400" b="0" i="1" baseline="0">
            <a:solidFill>
              <a:schemeClr val="accent6">
                <a:lumMod val="40000"/>
                <a:lumOff val="60000"/>
              </a:schemeClr>
            </a:solidFill>
            <a:latin typeface="+mn-lt"/>
            <a:ea typeface="+mn-ea"/>
            <a:cs typeface="+mn-cs"/>
          </a:endParaRPr>
        </a:p>
        <a:p>
          <a:endParaRPr lang="en-US" sz="1400" baseline="0">
            <a:solidFill>
              <a:schemeClr val="bg1"/>
            </a:solidFill>
            <a:latin typeface="+mn-lt"/>
            <a:ea typeface="+mn-ea"/>
            <a:cs typeface="+mn-cs"/>
          </a:endParaRPr>
        </a:p>
        <a:p>
          <a:r>
            <a:rPr lang="en-US" sz="1400" baseline="0">
              <a:solidFill>
                <a:schemeClr val="bg1"/>
              </a:solidFill>
              <a:latin typeface="+mn-lt"/>
              <a:ea typeface="+mn-ea"/>
              <a:cs typeface="+mn-cs"/>
            </a:rPr>
            <a:t>Energy Profit from increase in Energy from DA Market: $940 - $560 = $380</a:t>
          </a:r>
        </a:p>
        <a:p>
          <a:endParaRPr lang="en-US" sz="1400" baseline="0">
            <a:solidFill>
              <a:schemeClr val="bg1"/>
            </a:solidFill>
            <a:latin typeface="+mn-lt"/>
            <a:ea typeface="+mn-ea"/>
            <a:cs typeface="+mn-cs"/>
          </a:endParaRPr>
        </a:p>
        <a:p>
          <a:r>
            <a:rPr lang="en-US" sz="1400" u="sng" baseline="0">
              <a:solidFill>
                <a:schemeClr val="bg1"/>
              </a:solidFill>
              <a:latin typeface="+mn-lt"/>
              <a:ea typeface="+mn-ea"/>
              <a:cs typeface="+mn-cs"/>
            </a:rPr>
            <a:t>Ancillary Service Market Results (repeated for readability)</a:t>
          </a:r>
        </a:p>
        <a:p>
          <a:endParaRPr lang="en-US" sz="1400" baseline="0">
            <a:solidFill>
              <a:schemeClr val="bg1"/>
            </a:solidFill>
            <a:latin typeface="+mn-lt"/>
            <a:ea typeface="+mn-ea"/>
            <a:cs typeface="+mn-cs"/>
          </a:endParaRPr>
        </a:p>
        <a:p>
          <a:r>
            <a:rPr lang="en-US" sz="1400" baseline="0">
              <a:solidFill>
                <a:schemeClr val="bg1"/>
              </a:solidFill>
              <a:latin typeface="+mn-lt"/>
              <a:ea typeface="+mn-ea"/>
              <a:cs typeface="+mn-cs"/>
            </a:rPr>
            <a:t>DA Clearing Price Credit = $500</a:t>
          </a:r>
        </a:p>
        <a:p>
          <a:r>
            <a:rPr lang="en-US" sz="1400" baseline="0">
              <a:solidFill>
                <a:schemeClr val="bg1"/>
              </a:solidFill>
              <a:latin typeface="+mn-lt"/>
              <a:ea typeface="+mn-ea"/>
              <a:cs typeface="+mn-cs"/>
            </a:rPr>
            <a:t>Balancing Clearing Price Credit = ($400)</a:t>
          </a:r>
        </a:p>
        <a:p>
          <a:r>
            <a:rPr lang="en-US" sz="1400" baseline="0">
              <a:solidFill>
                <a:schemeClr val="bg1"/>
              </a:solidFill>
              <a:latin typeface="+mn-lt"/>
              <a:ea typeface="+mn-ea"/>
              <a:cs typeface="+mn-cs"/>
            </a:rPr>
            <a:t>DA Opportunity Cost = $340</a:t>
          </a:r>
        </a:p>
        <a:p>
          <a:r>
            <a:rPr lang="en-US" sz="1400" baseline="0">
              <a:solidFill>
                <a:schemeClr val="bg1"/>
              </a:solidFill>
              <a:latin typeface="+mn-lt"/>
              <a:ea typeface="+mn-ea"/>
              <a:cs typeface="+mn-cs"/>
            </a:rPr>
            <a:t>RT Opportunity Cost = 0</a:t>
          </a:r>
        </a:p>
        <a:p>
          <a:r>
            <a:rPr lang="en-US" sz="1400" baseline="0">
              <a:solidFill>
                <a:schemeClr val="bg1"/>
              </a:solidFill>
              <a:latin typeface="+mn-lt"/>
              <a:ea typeface="+mn-ea"/>
              <a:cs typeface="+mn-cs"/>
            </a:rPr>
            <a:t>Market Revenue Neutrality Offset = MIN(Energy Profit from increase in Energy from DA Market,Balancing LOC Credit Due to reduction in MW) = MIN($380,$240) = $240</a:t>
          </a:r>
        </a:p>
        <a:p>
          <a:r>
            <a:rPr lang="en-US" sz="1400" baseline="0">
              <a:solidFill>
                <a:schemeClr val="bg1"/>
              </a:solidFill>
              <a:latin typeface="+mn-lt"/>
              <a:ea typeface="+mn-ea"/>
              <a:cs typeface="+mn-cs"/>
            </a:rPr>
            <a:t>Lost Opportunity Cost Credit = MAX(DA Opportunity Cost  + RT Opportunity Cost  - DA Clearing Price Credit  - Balancing Clearing Price Credit  - Market Revenue Neutrality Offset ,0)</a:t>
          </a:r>
        </a:p>
        <a:p>
          <a:r>
            <a:rPr lang="en-US" sz="1400" baseline="0">
              <a:solidFill>
                <a:schemeClr val="bg1"/>
              </a:solidFill>
              <a:latin typeface="+mn-lt"/>
              <a:ea typeface="+mn-ea"/>
              <a:cs typeface="+mn-cs"/>
            </a:rPr>
            <a:t>                                                        = MAX($340 + 0  - $500 - ($400) - $240,0) = 0</a:t>
          </a:r>
        </a:p>
        <a:p>
          <a:endParaRPr lang="en-US" sz="1400" baseline="0">
            <a:solidFill>
              <a:schemeClr val="bg1"/>
            </a:solidFill>
            <a:latin typeface="+mn-lt"/>
            <a:ea typeface="+mn-ea"/>
            <a:cs typeface="+mn-cs"/>
          </a:endParaRPr>
        </a:p>
        <a:p>
          <a:r>
            <a:rPr lang="en-US" sz="1400" baseline="0">
              <a:solidFill>
                <a:schemeClr val="bg1"/>
              </a:solidFill>
              <a:latin typeface="+mn-lt"/>
              <a:ea typeface="+mn-ea"/>
              <a:cs typeface="+mn-cs"/>
            </a:rPr>
            <a:t>$240 of the $380 in additional profit used in the energy market is used to reduce the lost opportunity cost credit that is owed in the ancillary service market.</a:t>
          </a:r>
        </a:p>
        <a:p>
          <a:endParaRPr lang="en-US" sz="1400" baseline="0">
            <a:solidFill>
              <a:schemeClr val="bg1"/>
            </a:solidFill>
            <a:latin typeface="+mn-lt"/>
            <a:ea typeface="+mn-ea"/>
            <a:cs typeface="+mn-cs"/>
          </a:endParaRPr>
        </a:p>
        <a:p>
          <a:endParaRPr lang="en-US" sz="1400" baseline="0">
            <a:solidFill>
              <a:schemeClr val="bg1"/>
            </a:solidFill>
            <a:latin typeface="+mn-lt"/>
            <a:ea typeface="+mn-ea"/>
            <a:cs typeface="+mn-cs"/>
          </a:endParaRPr>
        </a:p>
        <a:p>
          <a:r>
            <a:rPr lang="en-US" sz="1400" u="sng" baseline="0">
              <a:solidFill>
                <a:schemeClr val="bg1"/>
              </a:solidFill>
              <a:latin typeface="+mn-lt"/>
              <a:ea typeface="+mn-ea"/>
              <a:cs typeface="+mn-cs"/>
            </a:rPr>
            <a:t>PJM Bill</a:t>
          </a:r>
        </a:p>
        <a:p>
          <a:r>
            <a:rPr lang="en-US" sz="1400" baseline="0">
              <a:solidFill>
                <a:schemeClr val="bg1"/>
              </a:solidFill>
              <a:latin typeface="+mn-lt"/>
              <a:ea typeface="+mn-ea"/>
              <a:cs typeface="+mn-cs"/>
            </a:rPr>
            <a:t>Day-ahead Ancillary Service Credit = $500</a:t>
          </a:r>
        </a:p>
        <a:p>
          <a:r>
            <a:rPr lang="en-US" sz="1400" baseline="0">
              <a:solidFill>
                <a:schemeClr val="bg1"/>
              </a:solidFill>
              <a:latin typeface="+mn-lt"/>
              <a:ea typeface="+mn-ea"/>
              <a:cs typeface="+mn-cs"/>
            </a:rPr>
            <a:t>Balancing Ancillary Service Credit = ($400)</a:t>
          </a:r>
        </a:p>
        <a:p>
          <a:r>
            <a:rPr lang="en-US" sz="1400" baseline="0">
              <a:solidFill>
                <a:schemeClr val="bg1"/>
              </a:solidFill>
              <a:latin typeface="+mn-lt"/>
              <a:ea typeface="+mn-ea"/>
              <a:cs typeface="+mn-cs"/>
            </a:rPr>
            <a:t>Lost Opportunity Cost Credit = $0</a:t>
          </a:r>
        </a:p>
        <a:p>
          <a:r>
            <a:rPr lang="en-US" sz="1400" baseline="0">
              <a:solidFill>
                <a:schemeClr val="bg1"/>
              </a:solidFill>
              <a:latin typeface="+mn-lt"/>
              <a:ea typeface="+mn-ea"/>
              <a:cs typeface="+mn-cs"/>
            </a:rPr>
            <a:t>Net Credit = $100</a:t>
          </a:r>
        </a:p>
        <a:p>
          <a:endParaRPr lang="en-US" sz="1400" baseline="0">
            <a:solidFill>
              <a:schemeClr val="bg1"/>
            </a:solidFill>
            <a:latin typeface="+mn-lt"/>
            <a:ea typeface="+mn-ea"/>
            <a:cs typeface="+mn-cs"/>
          </a:endParaRPr>
        </a:p>
        <a:p>
          <a:r>
            <a:rPr lang="en-US" sz="1400" b="1" baseline="0">
              <a:solidFill>
                <a:schemeClr val="bg1"/>
              </a:solidFill>
              <a:latin typeface="+mn-lt"/>
              <a:ea typeface="+mn-ea"/>
              <a:cs typeface="+mn-cs"/>
            </a:rPr>
            <a:t>Opportunity Cost Credit Owed:</a:t>
          </a:r>
        </a:p>
        <a:p>
          <a:pPr rtl="0" eaLnBrk="1" fontAlgn="base" hangingPunct="1"/>
          <a:r>
            <a:rPr lang="en-US" sz="1400" baseline="0">
              <a:solidFill>
                <a:schemeClr val="bg1"/>
              </a:solidFill>
              <a:latin typeface="+mn-lt"/>
              <a:ea typeface="+mn-ea"/>
              <a:cs typeface="+mn-cs"/>
            </a:rPr>
            <a:t>Not all resources are eligible to be made whole for the buy back associated with a decrease in their RT reserve assignment. In this case, a resource is considered to be disqualified from the Market Revenue Neutrality Offset.  The disqualifications can be found in M-28  Section 15.2 Market Revenue Neutrality Offset. These disqualification conditions indicate that the reduction in assignment was not due to a change in market conditions, but a change initiated by the market seller / resource. The market seller is then responsible for the buyout of the day-ahead market and the Opportunity Cost Credit owed is used to capture this cost responsibility in the calculation of balancing opportunity cost credit in the reserve market. </a:t>
          </a:r>
        </a:p>
        <a:p>
          <a:pPr rtl="0" eaLnBrk="1" fontAlgn="base" hangingPunct="1"/>
          <a:endParaRPr lang="en-US" sz="1400" baseline="0">
            <a:solidFill>
              <a:schemeClr val="bg1"/>
            </a:solidFill>
            <a:latin typeface="+mn-lt"/>
            <a:ea typeface="+mn-ea"/>
            <a:cs typeface="+mn-cs"/>
          </a:endParaRPr>
        </a:p>
        <a:p>
          <a:pPr rtl="0" eaLnBrk="1" fontAlgn="base" hangingPunct="1"/>
          <a:r>
            <a:rPr lang="en-US" sz="1400" baseline="0">
              <a:solidFill>
                <a:schemeClr val="bg1"/>
              </a:solidFill>
              <a:latin typeface="+mn-lt"/>
              <a:ea typeface="+mn-ea"/>
              <a:cs typeface="+mn-cs"/>
            </a:rPr>
            <a:t>Opportunity Cost Owed is a value that is currently used in reserve market settlements; however, it is not currently used in the calculation of Balancing Operating Reserve Credits. The Opportunity Cost Credit owed is not proposed to be used in Step 1 of the balancing operating reserve credit, which results in higher Balancing Net Revenue. Not using Opportunity Cost Credit Owed keeps with the principle of only paying for make-whole that was requested by PJM. Opportunity cost credit owed is proposed to be used in Step 2 of the balancing operating reserve calculation as a reflection of the actual losses incurred by the resource.</a:t>
          </a:r>
        </a:p>
        <a:p>
          <a:endParaRPr lang="en-US" sz="1400" baseline="0">
            <a:solidFill>
              <a:schemeClr val="bg1"/>
            </a:solidFill>
            <a:latin typeface="+mn-lt"/>
            <a:ea typeface="+mn-ea"/>
            <a:cs typeface="+mn-cs"/>
          </a:endParaRPr>
        </a:p>
        <a:p>
          <a:r>
            <a:rPr lang="en-US" sz="1400" baseline="0">
              <a:solidFill>
                <a:schemeClr val="bg1"/>
              </a:solidFill>
              <a:latin typeface="+mn-lt"/>
              <a:ea typeface="+mn-ea"/>
              <a:cs typeface="+mn-cs"/>
            </a:rPr>
            <a:t>Opportunity Cost Credit Owed is calculated using the same equation as the LOC Credit Due to Reduction in the Market Revenue Neutrality Offset calculations.</a:t>
          </a:r>
        </a:p>
        <a:p>
          <a:r>
            <a:rPr lang="en-US" sz="1400" baseline="0">
              <a:solidFill>
                <a:schemeClr val="bg1"/>
              </a:solidFill>
              <a:latin typeface="+mn-lt"/>
              <a:ea typeface="+mn-ea"/>
              <a:cs typeface="+mn-cs"/>
            </a:rPr>
            <a:t> </a:t>
          </a:r>
        </a:p>
        <a:p>
          <a:r>
            <a:rPr lang="en-US" sz="1400" baseline="0">
              <a:solidFill>
                <a:schemeClr val="bg1"/>
              </a:solidFill>
              <a:latin typeface="+mn-lt"/>
              <a:ea typeface="+mn-ea"/>
              <a:cs typeface="+mn-cs"/>
            </a:rPr>
            <a:t>Here is an example of Opportunity Cost Owed that will be used in example #4 on the Reserve Decrease in RT tab.</a:t>
          </a:r>
        </a:p>
        <a:p>
          <a:endParaRPr lang="en-US" sz="1400" u="sng" baseline="0">
            <a:solidFill>
              <a:schemeClr val="bg1"/>
            </a:solidFill>
            <a:latin typeface="+mn-lt"/>
            <a:ea typeface="+mn-ea"/>
            <a:cs typeface="+mn-cs"/>
          </a:endParaRPr>
        </a:p>
        <a:p>
          <a:r>
            <a:rPr lang="en-US" sz="1400" u="sng" baseline="0">
              <a:solidFill>
                <a:schemeClr val="bg1"/>
              </a:solidFill>
              <a:latin typeface="+mn-lt"/>
              <a:ea typeface="+mn-ea"/>
              <a:cs typeface="+mn-cs"/>
            </a:rPr>
            <a:t>Ancillary Service:</a:t>
          </a:r>
        </a:p>
        <a:p>
          <a:r>
            <a:rPr lang="en-US" sz="1400" baseline="0">
              <a:solidFill>
                <a:schemeClr val="bg1"/>
              </a:solidFill>
              <a:latin typeface="+mn-lt"/>
              <a:ea typeface="+mn-ea"/>
              <a:cs typeface="+mn-cs"/>
            </a:rPr>
            <a:t>DA Reserve Assignment = 20</a:t>
          </a:r>
        </a:p>
        <a:p>
          <a:r>
            <a:rPr lang="en-US" sz="1400" baseline="0">
              <a:solidFill>
                <a:schemeClr val="bg1"/>
              </a:solidFill>
              <a:latin typeface="+mn-lt"/>
              <a:ea typeface="+mn-ea"/>
              <a:cs typeface="+mn-cs"/>
            </a:rPr>
            <a:t>DA Opportunity Cost = $340</a:t>
          </a:r>
        </a:p>
        <a:p>
          <a:r>
            <a:rPr lang="en-US" sz="1400" baseline="0">
              <a:solidFill>
                <a:schemeClr val="bg1"/>
              </a:solidFill>
              <a:latin typeface="+mn-lt"/>
              <a:ea typeface="+mn-ea"/>
              <a:cs typeface="+mn-cs"/>
            </a:rPr>
            <a:t>DA Clearing Price Credit = $500</a:t>
          </a:r>
        </a:p>
        <a:p>
          <a:r>
            <a:rPr lang="en-US" sz="1400" baseline="0">
              <a:solidFill>
                <a:schemeClr val="bg1"/>
              </a:solidFill>
              <a:latin typeface="+mn-lt"/>
              <a:ea typeface="+mn-ea"/>
              <a:cs typeface="+mn-cs"/>
            </a:rPr>
            <a:t>RT Reserve Assignment = 15 (decrease of 5 MW from DA)</a:t>
          </a:r>
        </a:p>
        <a:p>
          <a:r>
            <a:rPr lang="en-US" sz="1400" baseline="0">
              <a:solidFill>
                <a:schemeClr val="bg1"/>
              </a:solidFill>
              <a:latin typeface="+mn-lt"/>
              <a:ea typeface="+mn-ea"/>
              <a:cs typeface="+mn-cs"/>
            </a:rPr>
            <a:t>Balancing Clearing Price Credit = ($175)</a:t>
          </a:r>
        </a:p>
        <a:p>
          <a:endParaRPr lang="en-US" sz="1400" baseline="0">
            <a:solidFill>
              <a:schemeClr val="bg1"/>
            </a:solidFill>
            <a:latin typeface="+mn-lt"/>
            <a:ea typeface="+mn-ea"/>
            <a:cs typeface="+mn-cs"/>
          </a:endParaRPr>
        </a:p>
        <a:p>
          <a:r>
            <a:rPr lang="en-US" sz="1400" baseline="0">
              <a:solidFill>
                <a:schemeClr val="bg1"/>
              </a:solidFill>
              <a:latin typeface="+mn-lt"/>
              <a:ea typeface="+mn-ea"/>
              <a:cs typeface="+mn-cs"/>
            </a:rPr>
            <a:t>LOC Credit Due to reduction in MW = MIN($340 - $500 - ($175)), ABS[($175)]) = MIN ($15, $175) = $15</a:t>
          </a:r>
        </a:p>
        <a:p>
          <a:endParaRPr lang="en-US" sz="1400" baseline="0">
            <a:solidFill>
              <a:schemeClr val="bg1"/>
            </a:solidFill>
            <a:latin typeface="+mn-lt"/>
            <a:ea typeface="+mn-ea"/>
            <a:cs typeface="+mn-cs"/>
          </a:endParaRPr>
        </a:p>
        <a:p>
          <a:endParaRPr lang="en-US" sz="1400" baseline="0">
            <a:solidFill>
              <a:schemeClr val="bg1"/>
            </a:solidFill>
            <a:latin typeface="+mn-lt"/>
            <a:ea typeface="+mn-ea"/>
            <a:cs typeface="+mn-cs"/>
          </a:endParaRPr>
        </a:p>
        <a:p>
          <a:r>
            <a:rPr lang="en-US" sz="1400" u="sng" baseline="0">
              <a:solidFill>
                <a:schemeClr val="bg1"/>
              </a:solidFill>
              <a:latin typeface="+mn-lt"/>
              <a:ea typeface="+mn-ea"/>
              <a:cs typeface="+mn-cs"/>
            </a:rPr>
            <a:t>Energy Market:</a:t>
          </a: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latin typeface="+mn-lt"/>
              <a:ea typeface="+mn-ea"/>
              <a:cs typeface="+mn-cs"/>
            </a:rPr>
            <a:t>DA MW = 80</a:t>
          </a:r>
        </a:p>
        <a:p>
          <a:r>
            <a:rPr lang="en-US" sz="1400" baseline="0">
              <a:solidFill>
                <a:schemeClr val="bg1"/>
              </a:solidFill>
              <a:latin typeface="+mn-lt"/>
              <a:ea typeface="+mn-ea"/>
              <a:cs typeface="+mn-cs"/>
            </a:rPr>
            <a:t>RT MW = 85 (increase of 5 MW from DA)</a:t>
          </a:r>
        </a:p>
        <a:p>
          <a:r>
            <a:rPr lang="en-US" sz="1400" baseline="0">
              <a:solidFill>
                <a:schemeClr val="bg1"/>
              </a:solidFill>
              <a:latin typeface="+mn-lt"/>
              <a:ea typeface="+mn-ea"/>
              <a:cs typeface="+mn-cs"/>
            </a:rPr>
            <a:t>Balancing Revenue = $235</a:t>
          </a:r>
        </a:p>
        <a:p>
          <a:r>
            <a:rPr lang="en-US" sz="1400" baseline="0">
              <a:solidFill>
                <a:schemeClr val="bg1"/>
              </a:solidFill>
              <a:latin typeface="+mn-lt"/>
              <a:ea typeface="+mn-ea"/>
              <a:cs typeface="+mn-cs"/>
            </a:rPr>
            <a:t>RT Incremental Cost (80 to 85) = $132.50</a:t>
          </a:r>
        </a:p>
        <a:p>
          <a:r>
            <a:rPr lang="en-US" sz="1400" baseline="0">
              <a:solidFill>
                <a:schemeClr val="bg1"/>
              </a:solidFill>
              <a:latin typeface="+mn-lt"/>
              <a:ea typeface="+mn-ea"/>
              <a:cs typeface="+mn-cs"/>
            </a:rPr>
            <a:t>Energy Profit from increase in Energy from DA Market: $235 - $132.50 = $102.50</a:t>
          </a:r>
        </a:p>
        <a:p>
          <a:endParaRPr lang="en-US" sz="1400" baseline="0">
            <a:solidFill>
              <a:schemeClr val="bg1"/>
            </a:solidFill>
            <a:latin typeface="+mn-lt"/>
            <a:ea typeface="+mn-ea"/>
            <a:cs typeface="+mn-cs"/>
          </a:endParaRPr>
        </a:p>
        <a:p>
          <a:r>
            <a:rPr lang="en-US" sz="1400" u="sng" baseline="0">
              <a:solidFill>
                <a:schemeClr val="bg1"/>
              </a:solidFill>
              <a:latin typeface="+mn-lt"/>
              <a:ea typeface="+mn-ea"/>
              <a:cs typeface="+mn-cs"/>
            </a:rPr>
            <a:t>Ancillary Service Market Results (repeated for readability):</a:t>
          </a:r>
        </a:p>
        <a:p>
          <a:r>
            <a:rPr lang="en-US" sz="1400" baseline="0">
              <a:solidFill>
                <a:schemeClr val="bg1"/>
              </a:solidFill>
              <a:latin typeface="+mn-lt"/>
              <a:ea typeface="+mn-ea"/>
              <a:cs typeface="+mn-cs"/>
            </a:rPr>
            <a:t>DA Clearing Price Credit = $500</a:t>
          </a:r>
        </a:p>
        <a:p>
          <a:r>
            <a:rPr lang="en-US" sz="1400" baseline="0">
              <a:solidFill>
                <a:schemeClr val="bg1"/>
              </a:solidFill>
              <a:latin typeface="+mn-lt"/>
              <a:ea typeface="+mn-ea"/>
              <a:cs typeface="+mn-cs"/>
            </a:rPr>
            <a:t>Balancing Clearing Price Credit = ($175)</a:t>
          </a:r>
        </a:p>
        <a:p>
          <a:r>
            <a:rPr lang="en-US" sz="1400" baseline="0">
              <a:solidFill>
                <a:schemeClr val="bg1"/>
              </a:solidFill>
              <a:latin typeface="+mn-lt"/>
              <a:ea typeface="+mn-ea"/>
              <a:cs typeface="+mn-cs"/>
            </a:rPr>
            <a:t>DA Opportunity Cost = $340</a:t>
          </a:r>
        </a:p>
        <a:p>
          <a:r>
            <a:rPr lang="en-US" sz="1400" baseline="0">
              <a:solidFill>
                <a:schemeClr val="bg1"/>
              </a:solidFill>
              <a:latin typeface="+mn-lt"/>
              <a:ea typeface="+mn-ea"/>
              <a:cs typeface="+mn-cs"/>
            </a:rPr>
            <a:t>RT Opportunity Cost = 0</a:t>
          </a:r>
        </a:p>
        <a:p>
          <a:r>
            <a:rPr lang="en-US" sz="1400" baseline="0">
              <a:solidFill>
                <a:schemeClr val="bg1"/>
              </a:solidFill>
              <a:latin typeface="+mn-lt"/>
              <a:ea typeface="+mn-ea"/>
              <a:cs typeface="+mn-cs"/>
            </a:rPr>
            <a:t>Market Revenue Neutrality Offset = Resource was disqualified from using the Offset</a:t>
          </a:r>
        </a:p>
        <a:p>
          <a:r>
            <a:rPr lang="en-US" sz="1400" baseline="0">
              <a:solidFill>
                <a:schemeClr val="bg1"/>
              </a:solidFill>
              <a:latin typeface="+mn-lt"/>
              <a:ea typeface="+mn-ea"/>
              <a:cs typeface="+mn-cs"/>
            </a:rPr>
            <a:t>Opportunity Cost Credit Owed = LOC Credit Due to reduction in MW = $15</a:t>
          </a:r>
        </a:p>
        <a:p>
          <a:r>
            <a:rPr lang="en-US" sz="1400" baseline="0">
              <a:solidFill>
                <a:schemeClr val="bg1"/>
              </a:solidFill>
              <a:latin typeface="+mn-lt"/>
              <a:ea typeface="+mn-ea"/>
              <a:cs typeface="+mn-cs"/>
            </a:rPr>
            <a:t>Lost Opportunity Cost Credit = MAX(DA Opportunity Cost  + RT Opportunity Cost  - DA Clearing Price Credit  - Balancing Clearing Price Credit  - Opportunity Cost Credit Owed ,0)</a:t>
          </a:r>
        </a:p>
        <a:p>
          <a:r>
            <a:rPr lang="en-US" sz="1400" baseline="0">
              <a:solidFill>
                <a:schemeClr val="bg1"/>
              </a:solidFill>
              <a:latin typeface="+mn-lt"/>
              <a:ea typeface="+mn-ea"/>
              <a:cs typeface="+mn-cs"/>
            </a:rPr>
            <a:t>                                                        = MAX($340 + 0  - $500 - ($175) - $15,0) = 0</a:t>
          </a:r>
        </a:p>
        <a:p>
          <a:endParaRPr lang="en-US" sz="1400" baseline="0">
            <a:solidFill>
              <a:schemeClr val="bg1"/>
            </a:solidFill>
            <a:latin typeface="+mn-lt"/>
            <a:ea typeface="+mn-ea"/>
            <a:cs typeface="+mn-cs"/>
          </a:endParaRPr>
        </a:p>
        <a:p>
          <a:r>
            <a:rPr lang="en-US" sz="1400" baseline="0">
              <a:solidFill>
                <a:schemeClr val="bg1"/>
              </a:solidFill>
              <a:latin typeface="+mn-lt"/>
              <a:ea typeface="+mn-ea"/>
              <a:cs typeface="+mn-cs"/>
            </a:rPr>
            <a:t>The Opportunity Cost Owed = $15, meaning the market seller is responsible for $15 of the buy out from the day-ahead ancillary service market and will not be eligible to recover that amount through the Lost Opportunity Cost Credit.  If the Opportunity Cost Owed were $0 in the above equation, the Lost Opportunity Cost Credit would have otherwise resulted in a $15 credit in the reserve market to cover the buy out from the day-ahead market.</a:t>
          </a:r>
        </a:p>
        <a:p>
          <a:endParaRPr lang="en-US" sz="1400" baseline="0">
            <a:solidFill>
              <a:schemeClr val="bg1"/>
            </a:solidFill>
            <a:latin typeface="+mn-lt"/>
            <a:ea typeface="+mn-ea"/>
            <a:cs typeface="+mn-cs"/>
          </a:endParaRPr>
        </a:p>
        <a:p>
          <a:r>
            <a:rPr lang="en-US" sz="1400" u="sng" baseline="0">
              <a:solidFill>
                <a:schemeClr val="bg1"/>
              </a:solidFill>
              <a:latin typeface="+mn-lt"/>
              <a:ea typeface="+mn-ea"/>
              <a:cs typeface="+mn-cs"/>
            </a:rPr>
            <a:t>PJM Bill</a:t>
          </a:r>
        </a:p>
        <a:p>
          <a:r>
            <a:rPr lang="en-US" sz="1400" baseline="0">
              <a:solidFill>
                <a:schemeClr val="bg1"/>
              </a:solidFill>
              <a:latin typeface="+mn-lt"/>
              <a:ea typeface="+mn-ea"/>
              <a:cs typeface="+mn-cs"/>
            </a:rPr>
            <a:t>Day-ahead Ancillary Service Credit = $500</a:t>
          </a:r>
        </a:p>
        <a:p>
          <a:r>
            <a:rPr lang="en-US" sz="1400" baseline="0">
              <a:solidFill>
                <a:schemeClr val="bg1"/>
              </a:solidFill>
              <a:latin typeface="+mn-lt"/>
              <a:ea typeface="+mn-ea"/>
              <a:cs typeface="+mn-cs"/>
            </a:rPr>
            <a:t>Balancing Ancillary Service Credit = ($175)</a:t>
          </a:r>
        </a:p>
        <a:p>
          <a:r>
            <a:rPr lang="en-US" sz="1400" baseline="0">
              <a:solidFill>
                <a:schemeClr val="bg1"/>
              </a:solidFill>
              <a:latin typeface="+mn-lt"/>
              <a:ea typeface="+mn-ea"/>
              <a:cs typeface="+mn-cs"/>
            </a:rPr>
            <a:t>Lost Opportunity Cost Credit = $0</a:t>
          </a:r>
        </a:p>
        <a:p>
          <a:r>
            <a:rPr lang="en-US" sz="1400" baseline="0">
              <a:solidFill>
                <a:schemeClr val="bg1"/>
              </a:solidFill>
              <a:latin typeface="+mn-lt"/>
              <a:ea typeface="+mn-ea"/>
              <a:cs typeface="+mn-cs"/>
            </a:rPr>
            <a:t>Net Credit = $325</a:t>
          </a:r>
        </a:p>
        <a:p>
          <a:endParaRPr lang="en-US" sz="1400" baseline="0">
            <a:solidFill>
              <a:schemeClr val="bg1"/>
            </a:solidFill>
            <a:latin typeface="+mn-lt"/>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19</xdr:col>
      <xdr:colOff>57150</xdr:colOff>
      <xdr:row>40</xdr:row>
      <xdr:rowOff>114301</xdr:rowOff>
    </xdr:from>
    <xdr:to>
      <xdr:col>24</xdr:col>
      <xdr:colOff>9525</xdr:colOff>
      <xdr:row>46</xdr:row>
      <xdr:rowOff>66675</xdr:rowOff>
    </xdr:to>
    <xdr:cxnSp macro="">
      <xdr:nvCxnSpPr>
        <xdr:cNvPr id="3" name="Straight Arrow Connector 2"/>
        <xdr:cNvCxnSpPr/>
      </xdr:nvCxnSpPr>
      <xdr:spPr>
        <a:xfrm flipV="1">
          <a:off x="15668625" y="8343901"/>
          <a:ext cx="3419475" cy="1152524"/>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666750</xdr:colOff>
      <xdr:row>40</xdr:row>
      <xdr:rowOff>76200</xdr:rowOff>
    </xdr:from>
    <xdr:to>
      <xdr:col>39</xdr:col>
      <xdr:colOff>38100</xdr:colOff>
      <xdr:row>45</xdr:row>
      <xdr:rowOff>123825</xdr:rowOff>
    </xdr:to>
    <xdr:cxnSp macro="">
      <xdr:nvCxnSpPr>
        <xdr:cNvPr id="4" name="Straight Arrow Connector 3"/>
        <xdr:cNvCxnSpPr/>
      </xdr:nvCxnSpPr>
      <xdr:spPr>
        <a:xfrm flipV="1">
          <a:off x="25060275" y="36842700"/>
          <a:ext cx="3524250" cy="95250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150</xdr:row>
      <xdr:rowOff>190500</xdr:rowOff>
    </xdr:from>
    <xdr:to>
      <xdr:col>24</xdr:col>
      <xdr:colOff>485775</xdr:colOff>
      <xdr:row>154</xdr:row>
      <xdr:rowOff>76200</xdr:rowOff>
    </xdr:to>
    <xdr:cxnSp macro="">
      <xdr:nvCxnSpPr>
        <xdr:cNvPr id="5" name="Straight Arrow Connector 4"/>
        <xdr:cNvCxnSpPr/>
      </xdr:nvCxnSpPr>
      <xdr:spPr>
        <a:xfrm flipV="1">
          <a:off x="15573375" y="22593300"/>
          <a:ext cx="3952875" cy="676275"/>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666750</xdr:colOff>
      <xdr:row>148</xdr:row>
      <xdr:rowOff>76200</xdr:rowOff>
    </xdr:from>
    <xdr:to>
      <xdr:col>39</xdr:col>
      <xdr:colOff>38100</xdr:colOff>
      <xdr:row>153</xdr:row>
      <xdr:rowOff>123825</xdr:rowOff>
    </xdr:to>
    <xdr:cxnSp macro="">
      <xdr:nvCxnSpPr>
        <xdr:cNvPr id="6" name="Straight Arrow Connector 5"/>
        <xdr:cNvCxnSpPr/>
      </xdr:nvCxnSpPr>
      <xdr:spPr>
        <a:xfrm flipV="1">
          <a:off x="25060275" y="48787050"/>
          <a:ext cx="3524250" cy="95250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0</xdr:rowOff>
    </xdr:from>
    <xdr:ext cx="14401800" cy="9667876"/>
    <xdr:sp macro="" textlink="">
      <xdr:nvSpPr>
        <xdr:cNvPr id="12" name="TextBox 11"/>
        <xdr:cNvSpPr txBox="1"/>
      </xdr:nvSpPr>
      <xdr:spPr>
        <a:xfrm>
          <a:off x="0" y="11734800"/>
          <a:ext cx="14401800" cy="9667876"/>
        </a:xfrm>
        <a:prstGeom prst="rect">
          <a:avLst/>
        </a:prstGeom>
        <a:solidFill>
          <a:srgbClr val="0070C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solidFill>
                <a:schemeClr val="bg1"/>
              </a:solidFill>
            </a:rPr>
            <a:t>Takeaway:</a:t>
          </a:r>
        </a:p>
        <a:p>
          <a:endParaRPr lang="en-US" sz="1400">
            <a:solidFill>
              <a:schemeClr val="bg1"/>
            </a:solidFill>
          </a:endParaRPr>
        </a:p>
        <a:p>
          <a:r>
            <a:rPr lang="en-US" sz="1400">
              <a:solidFill>
                <a:schemeClr val="bg1"/>
              </a:solidFill>
            </a:rPr>
            <a:t>The resource</a:t>
          </a:r>
          <a:r>
            <a:rPr lang="en-US" sz="1400" baseline="0">
              <a:solidFill>
                <a:schemeClr val="bg1"/>
              </a:solidFill>
            </a:rPr>
            <a:t> was requested to increase energy output in real-time while reducing the real-time ancillary service assignment to 0 MW. This led to increased profits in the energy market, but a negative balancing reserve market clearing price credit (or charge) since the resource had to buy out of its 20 MW DA reserve position at the RT market clearing price.  </a:t>
          </a:r>
        </a:p>
        <a:p>
          <a:endParaRPr lang="en-US" sz="1400" baseline="0">
            <a:solidFill>
              <a:schemeClr val="bg1"/>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u="sng" baseline="0">
              <a:solidFill>
                <a:schemeClr val="bg1"/>
              </a:solidFill>
              <a:latin typeface="+mn-lt"/>
              <a:ea typeface="+mn-ea"/>
              <a:cs typeface="+mn-cs"/>
            </a:rPr>
            <a:t>Step 1 (Tracking Desired) Balancing Operating Reserve Calculation:</a:t>
          </a:r>
        </a:p>
        <a:p>
          <a:r>
            <a:rPr lang="en-US" sz="1400" baseline="0">
              <a:solidFill>
                <a:schemeClr val="bg1"/>
              </a:solidFill>
            </a:rPr>
            <a:t>As explained in the Market Revenue Neutrality tab, the resource earned sufficient profit from its increase in energy output to cover the total LOC credit owed to the resource (inclusive of the buy out from the day-ahead market). By increasing its energy output 20 MW to the Tracking Desired MW of 100, the resource would earn an additional $940 in balancing revenue, while only incurring an additional $560 in incremental energy costs ($2250 RT incremental cost - $1690 DA incremental cost).  This means the resource would net $380 in profit from this increase in energy in the RT market. Meanwhile, the in the reserve market, they had to buy out of the 20 MW reserve assignment at the RT market clearing price, which cost $400. However, since the resource received $500 in DA market clearing price credits, the resource netted $100 profit from the DA reserve assignment that didn't have to be provided in RT.  That $100 profit is used to partially offset the DA opportunity cost of $340 and the remaining $240 in opportunity cost is covered using profits from the increase in energy - hence the Market Revenue Neutrality Offset of $240. </a:t>
          </a:r>
        </a:p>
        <a:p>
          <a:endParaRPr lang="en-US" sz="1400" baseline="0">
            <a:solidFill>
              <a:schemeClr val="accent6">
                <a:lumMod val="40000"/>
                <a:lumOff val="60000"/>
              </a:schemeClr>
            </a:solidFill>
          </a:endParaRPr>
        </a:p>
        <a:p>
          <a:r>
            <a:rPr lang="en-US" sz="1400" baseline="0">
              <a:solidFill>
                <a:schemeClr val="bg1"/>
              </a:solidFill>
            </a:rPr>
            <a:t>Because the $240 in energy profits is transferred to the reserve market to cover opportunity costs and bring the Reserve Market LOC Credit to $0, those profits cannot be used again to offset any losses in the energy market; this would constitute double counting the revenues.  For this reason, the Market Revenue Neutrality Offset is subtracted from the Balancing Net Revenue in the Operating Reserve calculation.  Note - this is the status quo, rather than a proposed change.</a:t>
          </a:r>
        </a:p>
        <a:p>
          <a:endParaRPr lang="en-US" sz="1400" strike="sngStrike" baseline="0">
            <a:solidFill>
              <a:schemeClr val="bg1"/>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latin typeface="+mn-lt"/>
              <a:ea typeface="+mn-ea"/>
              <a:cs typeface="+mn-cs"/>
            </a:rPr>
            <a:t>As demonstrated with examples 1 and 2, once the DA and RT reserve opportunity costs are included in the Balancing Operating Reserve Step 1 calculation, it causes the Step 1 (Potential) Bal Net Revenue to equal the potential profit/loss the unit earned from all markets, confirming that the Balancing Operating Reserve calculation has appropriately accounted for all revenues and costs incurred across the markets.  The resource realized a $2,390 net profit across the day-ahead and real-time energy and reserve markets and this is the amount of revenue for the interval that will be carried forward into segment-level Step 1 Balancing Operating Reserve Credit calculation.</a:t>
          </a:r>
        </a:p>
        <a:p>
          <a:endParaRPr lang="en-US" sz="1400" baseline="0">
            <a:solidFill>
              <a:schemeClr val="bg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u="sng" baseline="0">
              <a:solidFill>
                <a:schemeClr val="bg1"/>
              </a:solidFill>
              <a:latin typeface="+mn-lt"/>
              <a:ea typeface="+mn-ea"/>
              <a:cs typeface="+mn-cs"/>
            </a:rPr>
            <a:t>Step 2 (Actual) Balancing Operating Reserve Calculation:</a:t>
          </a:r>
        </a:p>
        <a:p>
          <a:r>
            <a:rPr lang="en-US" sz="1400" baseline="0">
              <a:solidFill>
                <a:schemeClr val="bg1"/>
              </a:solidFill>
            </a:rPr>
            <a:t>In real-time, the resource did not produce all of the energy requested. Instead of providing the Tracking Desired MW of 100, it only provided 95 MW.  </a:t>
          </a:r>
        </a:p>
        <a:p>
          <a:endParaRPr lang="en-US" sz="1400" baseline="0">
            <a:solidFill>
              <a:schemeClr val="bg1"/>
            </a:solidFill>
          </a:endParaRPr>
        </a:p>
        <a:p>
          <a:r>
            <a:rPr lang="en-US" sz="1400" baseline="0">
              <a:solidFill>
                <a:schemeClr val="bg1"/>
              </a:solidFill>
            </a:rPr>
            <a:t>The reserve market settlement in Step 2 is the same as the reserve market settlement in Step 1.  The resource was assigned 0 MW of reserves and had to buy out of its day-ahead reserve position, but made $100 net profit across day-ahead and real-time.  Although the resource made less energy profit in Step 2, the additional real-time energy profit was still sufficient to cover the reserve market LOC credit, so the Market Revenue Neutrality Offset of $240 remains the same.  </a:t>
          </a:r>
        </a:p>
        <a:p>
          <a:endParaRPr lang="en-US" sz="1400" baseline="0">
            <a:solidFill>
              <a:schemeClr val="bg1"/>
            </a:solidFill>
          </a:endParaRPr>
        </a:p>
        <a:p>
          <a:r>
            <a:rPr lang="en-US" sz="1400" baseline="0">
              <a:solidFill>
                <a:schemeClr val="bg1"/>
              </a:solidFill>
              <a:latin typeface="+mn-lt"/>
              <a:ea typeface="+mn-ea"/>
              <a:cs typeface="+mn-cs"/>
            </a:rPr>
            <a:t>The Step 2 Balancing Net Revenue of $2302.50 that results from the Balancing Operating Reserve Credit calculation matches the actual profit/loss the resource incurred across the energy and reserve markets.</a:t>
          </a:r>
        </a:p>
        <a:p>
          <a:endParaRPr lang="en-US" sz="1400" baseline="0">
            <a:solidFill>
              <a:schemeClr val="bg1"/>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u="sng" baseline="0">
              <a:solidFill>
                <a:schemeClr val="bg1"/>
              </a:solidFill>
              <a:latin typeface="+mn-lt"/>
              <a:ea typeface="+mn-ea"/>
              <a:cs typeface="+mn-cs"/>
            </a:rPr>
            <a:t>Impact of deviating from dispatch:</a:t>
          </a: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latin typeface="+mn-lt"/>
              <a:ea typeface="+mn-ea"/>
              <a:cs typeface="+mn-cs"/>
            </a:rPr>
            <a:t>By comparing the Balancing Net Revenue in Step 1 and Step 2, the resource earned $87.50 less in profit by not producing the Tracking Desired MW in RT.  Since the reserve settlements are the same between the two scenarios, the decreased profit in Step 2 stems from the lower production in energy.   The additional profit recognized in the Step 1 calculation will be used to offset any losses in other intervals when summing the Balancing Net Revenues across all intervals within the segment.  The Balancing Operating Reserve Credit the resource receives will be the lesser of the Step 1 and Step 2 calculations when each is summed for all intervals in the segment.</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solidFill>
              <a:schemeClr val="accent6">
                <a:lumMod val="40000"/>
                <a:lumOff val="60000"/>
              </a:schemeClr>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solidFill>
              <a:schemeClr val="accent6">
                <a:lumMod val="40000"/>
                <a:lumOff val="60000"/>
              </a:schemeClr>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solidFill>
              <a:schemeClr val="accent6">
                <a:lumMod val="40000"/>
                <a:lumOff val="60000"/>
              </a:schemeClr>
            </a:solidFill>
            <a:latin typeface="+mn-lt"/>
            <a:ea typeface="+mn-ea"/>
            <a:cs typeface="+mn-cs"/>
          </a:endParaRPr>
        </a:p>
        <a:p>
          <a:pPr marL="0" indent="0"/>
          <a:endParaRPr lang="en-US" sz="1400" baseline="0">
            <a:solidFill>
              <a:schemeClr val="accent6">
                <a:lumMod val="40000"/>
                <a:lumOff val="60000"/>
              </a:schemeClr>
            </a:solidFill>
            <a:latin typeface="+mn-lt"/>
            <a:ea typeface="+mn-ea"/>
            <a:cs typeface="+mn-cs"/>
          </a:endParaRPr>
        </a:p>
      </xdr:txBody>
    </xdr:sp>
    <xdr:clientData/>
  </xdr:oneCellAnchor>
  <xdr:oneCellAnchor>
    <xdr:from>
      <xdr:col>0</xdr:col>
      <xdr:colOff>0</xdr:colOff>
      <xdr:row>163</xdr:row>
      <xdr:rowOff>0</xdr:rowOff>
    </xdr:from>
    <xdr:ext cx="14401800" cy="12144375"/>
    <xdr:sp macro="" textlink="">
      <xdr:nvSpPr>
        <xdr:cNvPr id="13" name="TextBox 12"/>
        <xdr:cNvSpPr txBox="1"/>
      </xdr:nvSpPr>
      <xdr:spPr>
        <a:xfrm>
          <a:off x="0" y="33518475"/>
          <a:ext cx="14401800" cy="12144375"/>
        </a:xfrm>
        <a:prstGeom prst="rect">
          <a:avLst/>
        </a:prstGeom>
        <a:solidFill>
          <a:srgbClr val="0070C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solidFill>
                <a:schemeClr val="bg1"/>
              </a:solidFill>
            </a:rPr>
            <a:t>Takeaway:</a:t>
          </a:r>
        </a:p>
        <a:p>
          <a:r>
            <a:rPr lang="en-US" sz="1400">
              <a:solidFill>
                <a:schemeClr val="bg1"/>
              </a:solidFill>
            </a:rPr>
            <a:t>This example illustrates what</a:t>
          </a:r>
          <a:r>
            <a:rPr lang="en-US" sz="1400" baseline="0">
              <a:solidFill>
                <a:schemeClr val="bg1"/>
              </a:solidFill>
            </a:rPr>
            <a:t> happens if the resource is disqualified from the Market Neutrality Offset and highlights why the Opportunity Cost Owed value needs to be included in the Step 2 (Actual) Balancing Operating Reserve Credit calculation, but not the Step 1 (Tracking Desired / Potential) calculation.  </a:t>
          </a:r>
        </a:p>
        <a:p>
          <a:endParaRPr lang="en-US" sz="1400" baseline="0">
            <a:solidFill>
              <a:schemeClr val="accent6">
                <a:lumMod val="40000"/>
                <a:lumOff val="60000"/>
              </a:schemeClr>
            </a:solidFill>
          </a:endParaRPr>
        </a:p>
        <a:p>
          <a:r>
            <a:rPr lang="en-US" sz="1400" baseline="0">
              <a:solidFill>
                <a:schemeClr val="bg1"/>
              </a:solidFill>
            </a:rPr>
            <a:t>For the purposes of this example, it should be assumed that the market seller / resource took an action that disqualified the resource from the Market Revenue Neutrality Offset, which means a portion of the LOC credit due to the resource now becomes the market seller's responsibility.</a:t>
          </a:r>
        </a:p>
        <a:p>
          <a:endParaRPr lang="en-US" sz="1400">
            <a:solidFill>
              <a:schemeClr val="bg1"/>
            </a:solidFill>
          </a:endParaRPr>
        </a:p>
        <a:p>
          <a:r>
            <a:rPr lang="en-US" sz="1400">
              <a:solidFill>
                <a:schemeClr val="bg1"/>
              </a:solidFill>
            </a:rPr>
            <a:t>The energy and reserve settlements for both Step 1 and Step 2 are identical.  In this example,</a:t>
          </a:r>
          <a:r>
            <a:rPr lang="en-US" sz="1400" baseline="0">
              <a:solidFill>
                <a:schemeClr val="bg1"/>
              </a:solidFill>
            </a:rPr>
            <a:t> t</a:t>
          </a:r>
          <a:r>
            <a:rPr lang="en-US" sz="1400">
              <a:solidFill>
                <a:schemeClr val="bg1"/>
              </a:solidFill>
            </a:rPr>
            <a:t>he Tracking</a:t>
          </a:r>
          <a:r>
            <a:rPr lang="en-US" sz="1400" baseline="0">
              <a:solidFill>
                <a:schemeClr val="bg1"/>
              </a:solidFill>
            </a:rPr>
            <a:t> Desired MW increases the resource's energy output by 5 MW in real-time while the resource's real-time ancillary service assignment is reduced 5 MW from its day-ahead assignment.  The resource's RT output is equal to the Tracking Desired MW, hence the identical energy and reserve market settlements in Step 1 and Step 2.</a:t>
          </a:r>
        </a:p>
        <a:p>
          <a:endParaRPr lang="en-US" sz="1400" baseline="0">
            <a:solidFill>
              <a:schemeClr val="bg1"/>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latin typeface="+mn-lt"/>
              <a:ea typeface="+mn-ea"/>
              <a:cs typeface="+mn-cs"/>
            </a:rPr>
            <a:t>By increasing its energy output 5 MW to the Tracking Desired MW of 85, the resource would earn an additional $235 in balancing revenue, while only incurring an additional $132.50 in incremental energy costs ($1822.50 RT incremental cost - $1690 DA incremental cost).  This means the resource would net $102.50 in profit from this increase in energy in the RT market. Meanwhile, in the reserve market, they had to buy out of 5 MW of the DA reserve assignment at the RT market clearing price, which cost $175. However, since the resource received $500 in DA market clearing price credits, the resource received a total of $325 in reserve market clearing price credits, which is used to partially offset the DA opportunity cost of $340.  The remaining $15 of day-ahead opportunity cost that is not covered by the reserve market revenues would be covered by the Lost Opportunity Cost Credit.  However, because the market seller took an action that led to the reduction in RT reserve assignment and it was disqualified from the Market Revenue Neutrality Offset, the resource becomes ineligible to be made whole for this remaining opportunity cost (capped at the level of the day-ahead reserve market buy out of $175).  This remaining $15 becomes the Opportunity Cost Owed and it is subtracted from the LOC Credit in order to bring the credit down to $0.</a:t>
          </a:r>
        </a:p>
        <a:p>
          <a:endParaRPr lang="en-US" sz="1400" baseline="0">
            <a:solidFill>
              <a:schemeClr val="bg1"/>
            </a:solidFill>
          </a:endParaRPr>
        </a:p>
        <a:p>
          <a:endParaRPr lang="en-US" sz="1400" baseline="0">
            <a:solidFill>
              <a:schemeClr val="bg1"/>
            </a:solidFill>
          </a:endParaRPr>
        </a:p>
        <a:p>
          <a:r>
            <a:rPr lang="en-US" sz="1400" u="sng" baseline="0">
              <a:solidFill>
                <a:schemeClr val="bg1"/>
              </a:solidFill>
            </a:rPr>
            <a:t>Step 1 (Tracking Desired) Balancing Operating Reserve Calculation:</a:t>
          </a:r>
        </a:p>
        <a:p>
          <a:r>
            <a:rPr lang="en-US" sz="1400" baseline="0">
              <a:solidFill>
                <a:schemeClr val="bg1"/>
              </a:solidFill>
            </a:rPr>
            <a:t>Unlike the Market Revenue Neutrality Offset, the Opportunity Cost Owed value is not currently accounted for in the Balancing Operating Reserve Credit calculation.  Continuing to exclude this value from the Step 1 (Tracking Desired) calculation is appropriate. If the Opportunity Cost Owed were to be subtracted from the Step 1 calculation, it would reduce the balancing net revenues produced in this example, and could lead to the resource being made whole for that additional $15 in opportunity cost if the total revenues weren't sufficient to cover total costs.  Because the Step 1 calculation represents the revenues the resource could have earned under ideal operations, it would be inappropriate to make the resource whole for an opportunity cost that is the responsibility of the market seller due to an action they took rather than an action requested by PJM.  </a:t>
          </a:r>
        </a:p>
        <a:p>
          <a:endParaRPr lang="en-US" sz="1400" baseline="0">
            <a:solidFill>
              <a:schemeClr val="bg1"/>
            </a:solidFill>
          </a:endParaRPr>
        </a:p>
        <a:p>
          <a:r>
            <a:rPr lang="en-US" sz="1400" baseline="0">
              <a:solidFill>
                <a:schemeClr val="bg1"/>
              </a:solidFill>
            </a:rPr>
            <a:t>Because the $15 Opportunity Cost Owed is excluded from the Balancing Operating Reserve Calculation, the Balancing Net Revenue in Step 1 equals $2352.50, which does not equal the potential profit/loss of $2337.50.  The presence of a non-zero Opportunity Cost Owed value is the one scenario in the reserve market that would lead to the Step 1 Balancing Net Revenue not equaling the potential profit/loss value.  However, if the Opportunity Cost Owed is added to the potential profit/loss (in recognition of the fact that this is a cost that is the market seller's responsibility to cover), the Step 1 Balancing Net Revenue then matches the adjusted profit/loss value of $2352.50.</a:t>
          </a:r>
        </a:p>
        <a:p>
          <a:endParaRPr lang="en-US" sz="1400" baseline="0">
            <a:solidFill>
              <a:schemeClr val="bg1"/>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u="sng" baseline="0">
              <a:solidFill>
                <a:schemeClr val="bg1"/>
              </a:solidFill>
              <a:latin typeface="+mn-lt"/>
              <a:ea typeface="+mn-ea"/>
              <a:cs typeface="+mn-cs"/>
            </a:rPr>
            <a:t>Step 2 (Actual) Balancing Operating Reserve Calculation:</a:t>
          </a:r>
        </a:p>
        <a:p>
          <a:r>
            <a:rPr lang="en-US" sz="1400" baseline="0">
              <a:solidFill>
                <a:schemeClr val="bg1"/>
              </a:solidFill>
            </a:rPr>
            <a:t>Because the goal of the Step 2 calculation is to capture all of the revenues and costs incurred by the resource across the day-ahead and real-time energy markets regardless of how well they followed dispatch, and to produce balancing net revenues that match the actual profit/loss incurred by the resource, the Opportunity Cost Owed value needs to be reflected in the Step 2 calculation.  This is a proposed change to the Balancing Operating Reserve calculation.  Subtracting the Opportunity Cost Owed of $15 in the Balancing Net Revenue calculation lowers the Balancing Net Revenue to $2337.50, which then matches the actual profit/loss the resource incurred across all markets.</a:t>
          </a:r>
        </a:p>
        <a:p>
          <a:endParaRPr lang="en-US" sz="1400" strike="noStrike" baseline="0">
            <a:solidFill>
              <a:schemeClr val="bg1"/>
            </a:solidFill>
          </a:endParaRPr>
        </a:p>
        <a:p>
          <a:r>
            <a:rPr lang="en-US" sz="1400" strike="noStrike" baseline="0">
              <a:solidFill>
                <a:schemeClr val="bg1"/>
              </a:solidFill>
            </a:rPr>
            <a:t>Including the Opportunity Cost Owed in the Step 2 Balancing Operating Reserve Credit calculation means </a:t>
          </a:r>
          <a:r>
            <a:rPr lang="en-US" sz="1400" strike="noStrike" baseline="0">
              <a:solidFill>
                <a:schemeClr val="bg1"/>
              </a:solidFill>
              <a:latin typeface="+mn-lt"/>
              <a:ea typeface="+mn-ea"/>
              <a:cs typeface="+mn-cs"/>
            </a:rPr>
            <a:t>the overall net revenue in the Step 2 calculation is reduced, and could lead to the resource being made whole for that additional $15 in opportunity cost that is the market seller's responsibility if the total revenues aren't sufficient to cover total costs.  However, in the end, Step 3 of the Balancing Operating Reserve Credit calculation will limit the overall make whole credit to be paid to the resource.  Step 3 compares the balancing operating reserve credits from the segment-level Step 1 and Step 2 calculations and limits the resource's balancing operating reserve credit to the lesser of the two values.  If the Step 2 calculation is the lesser value in the end, although it could include some make whole due to Opportunity Cost Owed, it still means the make whole credit will be less than what  the resource would have been entitled to if the resource had followed dispatch.</a:t>
          </a:r>
        </a:p>
        <a:p>
          <a:endParaRPr lang="en-US" sz="1400" strike="noStrike" baseline="0">
            <a:solidFill>
              <a:schemeClr val="accent6">
                <a:lumMod val="40000"/>
                <a:lumOff val="60000"/>
              </a:schemeClr>
            </a:solidFill>
            <a:latin typeface="+mn-lt"/>
            <a:ea typeface="+mn-ea"/>
            <a:cs typeface="+mn-cs"/>
          </a:endParaRPr>
        </a:p>
        <a:p>
          <a:endParaRPr lang="en-US" sz="1400" baseline="0">
            <a:solidFill>
              <a:schemeClr val="bg1"/>
            </a:solidFill>
          </a:endParaRPr>
        </a:p>
        <a:p>
          <a:endParaRPr lang="en-US" sz="1400" baseline="0">
            <a:solidFill>
              <a:schemeClr val="bg1"/>
            </a:solidFill>
          </a:endParaRPr>
        </a:p>
      </xdr:txBody>
    </xdr:sp>
    <xdr:clientData/>
  </xdr:oneCellAnchor>
</xdr:wsDr>
</file>

<file path=xl/theme/theme1.xml><?xml version="1.0" encoding="utf-8"?>
<a:theme xmlns:a="http://schemas.openxmlformats.org/drawingml/2006/main" name="Public">
  <a:themeElements>
    <a:clrScheme name="PJM_Colorss">
      <a:dk1>
        <a:sysClr val="windowText" lastClr="000000"/>
      </a:dk1>
      <a:lt1>
        <a:srgbClr val="FFFFFF"/>
      </a:lt1>
      <a:dk2>
        <a:srgbClr val="000000"/>
      </a:dk2>
      <a:lt2>
        <a:srgbClr val="EEECE1"/>
      </a:lt2>
      <a:accent1>
        <a:srgbClr val="013366"/>
      </a:accent1>
      <a:accent2>
        <a:srgbClr val="99CC00"/>
      </a:accent2>
      <a:accent3>
        <a:srgbClr val="00B0F0"/>
      </a:accent3>
      <a:accent4>
        <a:srgbClr val="FF9900"/>
      </a:accent4>
      <a:accent5>
        <a:srgbClr val="808080"/>
      </a:accent5>
      <a:accent6>
        <a:srgbClr val="E70588"/>
      </a:accent6>
      <a:hlink>
        <a:srgbClr val="0000FF"/>
      </a:hlink>
      <a:folHlink>
        <a:srgbClr val="800080"/>
      </a:folHlink>
    </a:clrScheme>
    <a:fontScheme name="Office Them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raClrScheme>
      <a:clrScheme name="Office Theme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Office Theme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Office Theme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Office Theme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Office Theme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Office Theme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Office Theme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Office Theme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Office Theme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Office Theme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Office Theme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Office Theme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Lst>
  <a:extLst>
    <a:ext uri="{05A4C25C-085E-4340-85A3-A5531E510DB2}">
      <thm15:themeFamily xmlns:thm15="http://schemas.microsoft.com/office/thememl/2012/main" name="PJM_Widescreen" id="{CCCB7C1C-4E2C-41D0-A975-528CC51F3BC0}" vid="{2B650294-31F8-4B7D-80EE-9DE0F8430B2C}"/>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B293"/>
  <sheetViews>
    <sheetView tabSelected="1" zoomScaleNormal="100" workbookViewId="0">
      <selection activeCell="U139" sqref="U139"/>
    </sheetView>
  </sheetViews>
  <sheetFormatPr defaultRowHeight="14.25" x14ac:dyDescent="0.2"/>
  <cols>
    <col min="1" max="1" width="13.25" customWidth="1"/>
    <col min="2" max="2" width="24.125" customWidth="1"/>
    <col min="4" max="4" width="7" bestFit="1" customWidth="1"/>
    <col min="12" max="12" width="12" customWidth="1"/>
    <col min="13" max="13" width="11.125" customWidth="1"/>
    <col min="14" max="15" width="12.25" customWidth="1"/>
    <col min="16" max="16" width="9.875" customWidth="1"/>
    <col min="20" max="20" width="9.375" customWidth="1"/>
    <col min="21" max="21" width="9.5" bestFit="1" customWidth="1"/>
    <col min="25" max="25" width="7.625" customWidth="1"/>
    <col min="27" max="27" width="10" customWidth="1"/>
    <col min="29" max="29" width="10.25" customWidth="1"/>
    <col min="38" max="38" width="9.5" bestFit="1" customWidth="1"/>
  </cols>
  <sheetData>
    <row r="2" spans="17:22" ht="14.25" customHeight="1" x14ac:dyDescent="0.2">
      <c r="Q2" s="292"/>
      <c r="R2" s="292"/>
      <c r="S2" s="292"/>
      <c r="T2" s="292"/>
      <c r="U2" s="292"/>
      <c r="V2" s="292"/>
    </row>
    <row r="3" spans="17:22" x14ac:dyDescent="0.2">
      <c r="Q3" s="292"/>
      <c r="R3" s="292"/>
      <c r="S3" s="292"/>
      <c r="T3" s="292"/>
      <c r="U3" s="292"/>
      <c r="V3" s="292"/>
    </row>
    <row r="4" spans="17:22" x14ac:dyDescent="0.2">
      <c r="Q4" s="292"/>
      <c r="R4" s="292"/>
      <c r="S4" s="292"/>
      <c r="T4" s="292"/>
      <c r="U4" s="292"/>
      <c r="V4" s="292"/>
    </row>
    <row r="5" spans="17:22" x14ac:dyDescent="0.2">
      <c r="Q5" s="292"/>
      <c r="R5" s="292"/>
      <c r="S5" s="292"/>
      <c r="T5" s="292"/>
      <c r="U5" s="292"/>
      <c r="V5" s="292"/>
    </row>
    <row r="6" spans="17:22" x14ac:dyDescent="0.2">
      <c r="Q6" s="292"/>
      <c r="R6" s="292"/>
      <c r="S6" s="292"/>
      <c r="T6" s="292"/>
      <c r="U6" s="292"/>
      <c r="V6" s="292"/>
    </row>
    <row r="7" spans="17:22" x14ac:dyDescent="0.2">
      <c r="Q7" s="292"/>
      <c r="R7" s="292"/>
      <c r="S7" s="292"/>
      <c r="T7" s="292"/>
      <c r="U7" s="292"/>
      <c r="V7" s="292"/>
    </row>
    <row r="8" spans="17:22" x14ac:dyDescent="0.2">
      <c r="Q8" s="292"/>
      <c r="R8" s="292"/>
      <c r="S8" s="292"/>
      <c r="T8" s="292"/>
      <c r="U8" s="292"/>
      <c r="V8" s="292"/>
    </row>
    <row r="9" spans="17:22" x14ac:dyDescent="0.2">
      <c r="Q9" s="292"/>
      <c r="R9" s="292"/>
      <c r="S9" s="292"/>
      <c r="T9" s="292"/>
      <c r="U9" s="292"/>
      <c r="V9" s="292"/>
    </row>
    <row r="10" spans="17:22" x14ac:dyDescent="0.2">
      <c r="Q10" s="292"/>
      <c r="R10" s="292"/>
      <c r="S10" s="292"/>
      <c r="T10" s="292"/>
      <c r="U10" s="292"/>
      <c r="V10" s="292"/>
    </row>
    <row r="11" spans="17:22" x14ac:dyDescent="0.2">
      <c r="Q11" s="292"/>
      <c r="R11" s="292"/>
      <c r="S11" s="292"/>
      <c r="T11" s="292"/>
      <c r="U11" s="292"/>
      <c r="V11" s="292"/>
    </row>
    <row r="12" spans="17:22" x14ac:dyDescent="0.2">
      <c r="Q12" s="292"/>
      <c r="R12" s="292"/>
      <c r="S12" s="292"/>
      <c r="T12" s="292"/>
      <c r="U12" s="292"/>
      <c r="V12" s="292"/>
    </row>
    <row r="13" spans="17:22" x14ac:dyDescent="0.2">
      <c r="Q13" s="292"/>
      <c r="R13" s="292"/>
      <c r="S13" s="292"/>
      <c r="T13" s="292"/>
      <c r="U13" s="292"/>
      <c r="V13" s="292"/>
    </row>
    <row r="14" spans="17:22" x14ac:dyDescent="0.2">
      <c r="Q14" s="292"/>
      <c r="R14" s="292"/>
      <c r="S14" s="292"/>
      <c r="T14" s="292"/>
      <c r="U14" s="292"/>
      <c r="V14" s="292"/>
    </row>
    <row r="15" spans="17:22" x14ac:dyDescent="0.2">
      <c r="Q15" s="292"/>
      <c r="R15" s="292"/>
      <c r="S15" s="292"/>
      <c r="T15" s="292"/>
      <c r="U15" s="292"/>
      <c r="V15" s="292"/>
    </row>
    <row r="16" spans="17:22" x14ac:dyDescent="0.2">
      <c r="Q16" s="292"/>
      <c r="R16" s="292"/>
      <c r="S16" s="292"/>
      <c r="T16" s="292"/>
      <c r="U16" s="292"/>
      <c r="V16" s="292"/>
    </row>
    <row r="17" spans="17:22" x14ac:dyDescent="0.2">
      <c r="Q17" s="292"/>
      <c r="R17" s="292"/>
      <c r="S17" s="292"/>
      <c r="T17" s="292"/>
      <c r="U17" s="292"/>
      <c r="V17" s="292"/>
    </row>
    <row r="25" spans="17:22" x14ac:dyDescent="0.2">
      <c r="Q25" s="292"/>
      <c r="R25" s="292"/>
      <c r="S25" s="292"/>
      <c r="T25" s="292"/>
      <c r="U25" s="292"/>
      <c r="V25" s="292"/>
    </row>
    <row r="26" spans="17:22" x14ac:dyDescent="0.2">
      <c r="Q26" s="292"/>
      <c r="R26" s="292"/>
      <c r="S26" s="292"/>
      <c r="T26" s="292"/>
      <c r="U26" s="292"/>
      <c r="V26" s="292"/>
    </row>
    <row r="27" spans="17:22" x14ac:dyDescent="0.2">
      <c r="Q27" s="292"/>
      <c r="R27" s="292"/>
      <c r="S27" s="292"/>
      <c r="T27" s="292"/>
      <c r="U27" s="292"/>
      <c r="V27" s="292"/>
    </row>
    <row r="28" spans="17:22" x14ac:dyDescent="0.2">
      <c r="Q28" s="292"/>
      <c r="R28" s="292"/>
      <c r="S28" s="292"/>
      <c r="T28" s="292"/>
      <c r="U28" s="292"/>
      <c r="V28" s="292"/>
    </row>
    <row r="29" spans="17:22" x14ac:dyDescent="0.2">
      <c r="Q29" s="292"/>
      <c r="R29" s="292"/>
      <c r="S29" s="292"/>
      <c r="T29" s="292"/>
      <c r="U29" s="292"/>
      <c r="V29" s="292"/>
    </row>
    <row r="30" spans="17:22" x14ac:dyDescent="0.2">
      <c r="Q30" s="292"/>
      <c r="R30" s="292"/>
      <c r="S30" s="292"/>
      <c r="T30" s="292"/>
      <c r="U30" s="292"/>
      <c r="V30" s="292"/>
    </row>
    <row r="31" spans="17:22" x14ac:dyDescent="0.2">
      <c r="Q31" s="292"/>
      <c r="R31" s="292"/>
      <c r="S31" s="292"/>
      <c r="T31" s="292"/>
      <c r="U31" s="292"/>
      <c r="V31" s="292"/>
    </row>
    <row r="32" spans="17:22" x14ac:dyDescent="0.2">
      <c r="Q32" s="292"/>
      <c r="R32" s="292"/>
      <c r="S32" s="292"/>
      <c r="T32" s="292"/>
      <c r="U32" s="292"/>
      <c r="V32" s="292"/>
    </row>
    <row r="33" spans="17:22" x14ac:dyDescent="0.2">
      <c r="Q33" s="292"/>
      <c r="R33" s="292"/>
      <c r="S33" s="292"/>
      <c r="T33" s="292"/>
      <c r="U33" s="292"/>
      <c r="V33" s="292"/>
    </row>
    <row r="34" spans="17:22" x14ac:dyDescent="0.2">
      <c r="Q34" s="292"/>
      <c r="R34" s="292"/>
      <c r="S34" s="292"/>
      <c r="T34" s="292"/>
      <c r="U34" s="292"/>
      <c r="V34" s="292"/>
    </row>
    <row r="35" spans="17:22" x14ac:dyDescent="0.2">
      <c r="Q35" s="292"/>
      <c r="R35" s="292"/>
      <c r="S35" s="292"/>
      <c r="T35" s="292"/>
      <c r="U35" s="292"/>
      <c r="V35" s="292"/>
    </row>
    <row r="36" spans="17:22" x14ac:dyDescent="0.2">
      <c r="Q36" s="292"/>
      <c r="R36" s="292"/>
      <c r="S36" s="292"/>
      <c r="T36" s="292"/>
      <c r="U36" s="292"/>
      <c r="V36" s="292"/>
    </row>
    <row r="37" spans="17:22" x14ac:dyDescent="0.2">
      <c r="Q37" s="292"/>
      <c r="R37" s="292"/>
      <c r="S37" s="292"/>
      <c r="T37" s="292"/>
      <c r="U37" s="292"/>
      <c r="V37" s="292"/>
    </row>
    <row r="38" spans="17:22" x14ac:dyDescent="0.2">
      <c r="Q38" s="292"/>
      <c r="R38" s="292"/>
      <c r="S38" s="292"/>
      <c r="T38" s="292"/>
      <c r="U38" s="292"/>
      <c r="V38" s="292"/>
    </row>
    <row r="39" spans="17:22" x14ac:dyDescent="0.2">
      <c r="Q39" s="292"/>
      <c r="R39" s="292"/>
      <c r="S39" s="292"/>
      <c r="T39" s="292"/>
      <c r="U39" s="292"/>
      <c r="V39" s="292"/>
    </row>
    <row r="40" spans="17:22" x14ac:dyDescent="0.2">
      <c r="Q40" s="292"/>
      <c r="R40" s="292"/>
      <c r="S40" s="292"/>
      <c r="T40" s="292"/>
      <c r="U40" s="292"/>
      <c r="V40" s="292"/>
    </row>
    <row r="67" spans="17:21" x14ac:dyDescent="0.2">
      <c r="Q67" s="210"/>
      <c r="R67" s="210"/>
      <c r="S67" s="210"/>
      <c r="T67" s="210"/>
      <c r="U67" s="210"/>
    </row>
    <row r="68" spans="17:21" x14ac:dyDescent="0.2">
      <c r="Q68" s="210"/>
      <c r="R68" s="210"/>
      <c r="S68" s="210"/>
      <c r="T68" s="210"/>
      <c r="U68" s="210"/>
    </row>
    <row r="69" spans="17:21" x14ac:dyDescent="0.2">
      <c r="Q69" s="210"/>
      <c r="R69" s="210"/>
      <c r="S69" s="210"/>
      <c r="T69" s="210"/>
      <c r="U69" s="210"/>
    </row>
    <row r="70" spans="17:21" x14ac:dyDescent="0.2">
      <c r="Q70" s="210"/>
      <c r="R70" s="210"/>
      <c r="S70" s="210"/>
      <c r="T70" s="210"/>
      <c r="U70" s="210"/>
    </row>
    <row r="71" spans="17:21" x14ac:dyDescent="0.2">
      <c r="Q71" s="210"/>
      <c r="R71" s="210"/>
      <c r="S71" s="210"/>
      <c r="T71" s="210"/>
      <c r="U71" s="210"/>
    </row>
    <row r="72" spans="17:21" x14ac:dyDescent="0.2">
      <c r="Q72" s="210"/>
      <c r="R72" s="210"/>
      <c r="S72" s="210"/>
      <c r="T72" s="210"/>
      <c r="U72" s="210"/>
    </row>
    <row r="73" spans="17:21" x14ac:dyDescent="0.2">
      <c r="Q73" s="210"/>
      <c r="R73" s="210"/>
      <c r="S73" s="210"/>
      <c r="T73" s="210"/>
      <c r="U73" s="210"/>
    </row>
    <row r="74" spans="17:21" x14ac:dyDescent="0.2">
      <c r="Q74" s="210"/>
      <c r="R74" s="210"/>
      <c r="S74" s="210"/>
      <c r="T74" s="210"/>
      <c r="U74" s="210"/>
    </row>
    <row r="75" spans="17:21" x14ac:dyDescent="0.2">
      <c r="Q75" s="210"/>
      <c r="R75" s="210"/>
      <c r="S75" s="210"/>
      <c r="T75" s="210"/>
      <c r="U75" s="210"/>
    </row>
    <row r="76" spans="17:21" x14ac:dyDescent="0.2">
      <c r="Q76" s="210"/>
      <c r="R76" s="210"/>
      <c r="S76" s="210"/>
      <c r="T76" s="210"/>
      <c r="U76" s="210"/>
    </row>
    <row r="77" spans="17:21" x14ac:dyDescent="0.2">
      <c r="Q77" s="210"/>
      <c r="R77" s="210"/>
      <c r="S77" s="210"/>
      <c r="T77" s="210"/>
      <c r="U77" s="210"/>
    </row>
    <row r="78" spans="17:21" x14ac:dyDescent="0.2">
      <c r="Q78" s="210"/>
      <c r="R78" s="210"/>
      <c r="S78" s="210"/>
      <c r="T78" s="210"/>
      <c r="U78" s="210"/>
    </row>
    <row r="104" spans="1:28" ht="20.25" x14ac:dyDescent="0.3">
      <c r="A104" s="1" t="s">
        <v>103</v>
      </c>
      <c r="B104" s="1"/>
      <c r="C104" s="1"/>
      <c r="D104" s="1"/>
      <c r="E104" s="1"/>
      <c r="F104" s="1"/>
      <c r="G104" s="1"/>
      <c r="H104" s="1"/>
      <c r="I104" s="1"/>
      <c r="J104" s="1"/>
      <c r="K104" s="1"/>
      <c r="L104" s="1"/>
      <c r="M104" s="1"/>
      <c r="N104" s="1"/>
      <c r="O104" s="1"/>
      <c r="P104" s="1"/>
      <c r="Q104" s="2"/>
      <c r="R104" s="2"/>
      <c r="S104" s="2"/>
      <c r="T104" s="2"/>
    </row>
    <row r="105" spans="1:28" ht="15.75" thickBot="1" x14ac:dyDescent="0.3">
      <c r="A105" s="293" t="s">
        <v>105</v>
      </c>
      <c r="B105" s="293"/>
      <c r="C105" s="293"/>
      <c r="D105" s="293"/>
      <c r="E105" s="293"/>
      <c r="F105" s="293"/>
      <c r="G105" s="293"/>
      <c r="H105" s="293"/>
      <c r="I105" s="293"/>
      <c r="J105" s="293"/>
      <c r="K105" s="293"/>
      <c r="L105" s="293"/>
      <c r="M105" s="293"/>
      <c r="N105" s="293"/>
      <c r="O105" s="293"/>
      <c r="P105" s="293"/>
      <c r="Q105" s="293"/>
      <c r="R105" s="293"/>
      <c r="S105" s="293"/>
      <c r="T105" s="293"/>
    </row>
    <row r="106" spans="1:28" ht="15.75" thickBot="1" x14ac:dyDescent="0.3">
      <c r="A106" s="3" t="s">
        <v>0</v>
      </c>
      <c r="B106" s="4"/>
      <c r="C106" s="4"/>
      <c r="D106" s="5"/>
      <c r="E106" s="6" t="s">
        <v>1</v>
      </c>
      <c r="F106" s="7"/>
      <c r="G106" s="8"/>
      <c r="H106" s="9" t="s">
        <v>2</v>
      </c>
      <c r="I106" s="10"/>
      <c r="J106" s="11"/>
      <c r="K106" s="9" t="s">
        <v>3</v>
      </c>
      <c r="L106" s="10"/>
      <c r="M106" s="11"/>
      <c r="N106" s="9" t="s">
        <v>4</v>
      </c>
      <c r="O106" s="10"/>
      <c r="P106" s="11"/>
      <c r="Q106" s="9" t="s">
        <v>5</v>
      </c>
      <c r="R106" s="10"/>
      <c r="S106" s="10"/>
      <c r="T106" s="11"/>
      <c r="U106" s="9" t="s">
        <v>6</v>
      </c>
      <c r="V106" s="10"/>
      <c r="W106" s="10"/>
      <c r="X106" s="11"/>
      <c r="Y106" s="9" t="s">
        <v>7</v>
      </c>
      <c r="Z106" s="10"/>
      <c r="AA106" s="10"/>
      <c r="AB106" s="11"/>
    </row>
    <row r="107" spans="1:28" ht="30.75" thickBot="1" x14ac:dyDescent="0.3">
      <c r="A107" s="12" t="s">
        <v>8</v>
      </c>
      <c r="B107" s="13" t="s">
        <v>9</v>
      </c>
      <c r="C107" s="13" t="s">
        <v>10</v>
      </c>
      <c r="D107" s="14" t="s">
        <v>11</v>
      </c>
      <c r="E107" s="15" t="s">
        <v>12</v>
      </c>
      <c r="F107" s="16" t="s">
        <v>13</v>
      </c>
      <c r="G107" s="17" t="s">
        <v>14</v>
      </c>
      <c r="H107" s="15" t="s">
        <v>12</v>
      </c>
      <c r="I107" s="16" t="s">
        <v>15</v>
      </c>
      <c r="J107" s="17" t="s">
        <v>16</v>
      </c>
      <c r="K107" s="15" t="s">
        <v>12</v>
      </c>
      <c r="L107" s="16" t="s">
        <v>15</v>
      </c>
      <c r="M107" s="17" t="s">
        <v>16</v>
      </c>
      <c r="N107" s="15" t="s">
        <v>12</v>
      </c>
      <c r="O107" s="16" t="s">
        <v>15</v>
      </c>
      <c r="P107" s="17" t="s">
        <v>16</v>
      </c>
      <c r="Q107" s="18" t="s">
        <v>17</v>
      </c>
      <c r="R107" s="13" t="s">
        <v>18</v>
      </c>
      <c r="S107" s="13" t="s">
        <v>15</v>
      </c>
      <c r="T107" s="19" t="s">
        <v>16</v>
      </c>
      <c r="U107" s="18" t="s">
        <v>17</v>
      </c>
      <c r="V107" s="13" t="s">
        <v>18</v>
      </c>
      <c r="W107" s="13" t="s">
        <v>15</v>
      </c>
      <c r="X107" s="19" t="s">
        <v>16</v>
      </c>
      <c r="Y107" s="18" t="s">
        <v>17</v>
      </c>
      <c r="Z107" s="13" t="s">
        <v>18</v>
      </c>
      <c r="AA107" s="13" t="s">
        <v>15</v>
      </c>
      <c r="AB107" s="19" t="s">
        <v>16</v>
      </c>
    </row>
    <row r="108" spans="1:28" ht="15" x14ac:dyDescent="0.25">
      <c r="A108" s="20">
        <v>1</v>
      </c>
      <c r="B108" s="21">
        <v>0</v>
      </c>
      <c r="C108" s="21">
        <v>50</v>
      </c>
      <c r="D108" s="22">
        <v>20</v>
      </c>
      <c r="E108" s="23">
        <f>IF(AND(C123&gt;B108,C123&lt;=C108),C123,0)</f>
        <v>0</v>
      </c>
      <c r="F108" s="24">
        <f>IF(C123&gt;0,D108,0)</f>
        <v>0</v>
      </c>
      <c r="G108" s="22">
        <f>IF(E108&gt;0,IF(E108=B108,D108,IF(AND(E108&gt;B108,E108&lt;=C108),D108+(E108-B108)*((D108-D108)/(C108-B108)),0)),0)</f>
        <v>0</v>
      </c>
      <c r="H108" s="25">
        <f>IF(AND(C132&gt;B108,C132&lt;=C108),C132,0)</f>
        <v>50</v>
      </c>
      <c r="I108" s="24">
        <f>IF(C132&gt;0,D108,0)</f>
        <v>20</v>
      </c>
      <c r="J108" s="22">
        <f>IF(H108&gt;0,IF(H108=B108,D108,IF(AND(H108&gt;B108,H108&lt;=C108),D108+(H108-B108)*((D108-D108)/(C108-B108)),0)),0)</f>
        <v>20</v>
      </c>
      <c r="K108" s="26">
        <f>IF(AND(C134&gt;B108,C134&lt;=C108),C134,0)</f>
        <v>0</v>
      </c>
      <c r="L108" s="24">
        <f>IF(C132&gt;0,D108,0)</f>
        <v>20</v>
      </c>
      <c r="M108" s="22">
        <f>IF(K108&gt;0,IF(K108=B108,D108,IF(AND(K108&gt;B108,K108&lt;=C108),D108+(K108-B108)*((D108-D108)/(C108-B108)),0)),0)</f>
        <v>0</v>
      </c>
      <c r="N108" s="26">
        <f>IF(AND(C135&gt;E108,C135&lt;=F108),C135,0)</f>
        <v>0</v>
      </c>
      <c r="O108" s="24">
        <f>IF(C135&gt;0,D108,0)</f>
        <v>20</v>
      </c>
      <c r="P108" s="22">
        <f>IF(N108&gt;0,IF(N108=B108,D108,IF(AND(N108&gt;B108,N108&lt;=C108),D108+(N108-B108)*((D108-D108)/(C108-B108)),0)),0)</f>
        <v>0</v>
      </c>
      <c r="Q108" s="26">
        <f>IF(C132=C108,C132,0)</f>
        <v>50</v>
      </c>
      <c r="R108" s="21">
        <f>IF(C146=C108,C146,0)</f>
        <v>0</v>
      </c>
      <c r="S108" s="24">
        <f>IF(Q108&gt;0,D108,0)</f>
        <v>20</v>
      </c>
      <c r="T108" s="22">
        <f>IF(R108&gt;0,IF(R108=B108,D108,IF(AND(R108&gt;B108,R108&lt;=C108),D108+(R108-B108)*((D108-D108)/(C108-B108)),0)),0)</f>
        <v>0</v>
      </c>
      <c r="U108" s="26">
        <f>IF(C156=C108,C108,0)</f>
        <v>0</v>
      </c>
      <c r="V108" s="21">
        <f>IF(C153 = 1,IF((C134-C142)=C108,(C134-C142),0),0)</f>
        <v>0</v>
      </c>
      <c r="W108" s="24">
        <f>IF(U108&gt;0,D108,0)</f>
        <v>0</v>
      </c>
      <c r="X108" s="22">
        <f>IF(V108&gt;0,IF(V108=B108,D108,IF(AND(V108&gt;B108,V108&lt;=C108),D108+(V108-B108)*((D108-D108)/(C108-B108)),0)),0)</f>
        <v>0</v>
      </c>
      <c r="Y108" s="26">
        <f>IF(C157=C108,C108,0)</f>
        <v>0</v>
      </c>
      <c r="Z108" s="21">
        <f>IF(C153 = 1,IF((C134-C142)=C108,(C134-C142),0),0)</f>
        <v>0</v>
      </c>
      <c r="AA108" s="24">
        <f>IF(Y108&gt;0,D108,0)</f>
        <v>0</v>
      </c>
      <c r="AB108" s="22">
        <f>IF(Z108&gt;0,IF(Z108=B108,D108,IF(AND(Z108&gt;B108,Z108&lt;=C108),D108+(Z108-B108)*((D108-D108)/(C108-B108)),0)),0)</f>
        <v>0</v>
      </c>
    </row>
    <row r="109" spans="1:28" ht="15" x14ac:dyDescent="0.25">
      <c r="A109" s="27">
        <v>2</v>
      </c>
      <c r="B109" s="28">
        <v>50</v>
      </c>
      <c r="C109" s="28">
        <v>75</v>
      </c>
      <c r="D109" s="29">
        <v>25</v>
      </c>
      <c r="E109" s="30">
        <f>IF(AND(C123&gt;B109,C123&lt;=C109),C123,0)</f>
        <v>0</v>
      </c>
      <c r="F109" s="31">
        <v>0</v>
      </c>
      <c r="G109" s="29">
        <f>IF(E109&gt;0,IF(AND(E109&gt;B109,E109&lt;C109),D108+(E109-B109)*((D109-D108)/(C109-B109)),0),0)</f>
        <v>0</v>
      </c>
      <c r="H109" s="32">
        <f>IF(AND(C132&gt;B109,C132&lt;=C109),C132,0)</f>
        <v>0</v>
      </c>
      <c r="I109" s="31">
        <v>0</v>
      </c>
      <c r="J109" s="29">
        <f>IF(H109&gt;0,IF(H109=B109,D109,IF(AND(H109&gt;B109,H109&lt;=C109),D108+(H109-B109)*((D109-D108)/(C109-B109)),0)),0)</f>
        <v>0</v>
      </c>
      <c r="K109" s="32">
        <f>IF(AND(C134&gt;B109,C134&lt;=C109),C134,0)</f>
        <v>0</v>
      </c>
      <c r="L109" s="31">
        <v>0</v>
      </c>
      <c r="M109" s="29">
        <f>IF(K109&gt;0,IF(K109=B109,D109,IF(AND(K109&gt;B109,K109&lt;=C109),D108+(K109-B109)*((D109-D108)/(C109-B109)),0)),0)</f>
        <v>0</v>
      </c>
      <c r="N109" s="32">
        <f>IF(AND(C135&gt;B109,C135&lt;=C109),C135,0)</f>
        <v>0</v>
      </c>
      <c r="O109" s="31">
        <v>0</v>
      </c>
      <c r="P109" s="29">
        <f>IF(N109&gt;0,IF(N109=B109,D109,IF(AND(N109&gt;B109,N109&lt;=C109),D108+(N109-B109)*((D109-D108)/(C109-B109)),0)),0)</f>
        <v>0</v>
      </c>
      <c r="Q109" s="32">
        <f>IF(AND(C123&gt;B109,C123&lt;=C109),C123,0)</f>
        <v>0</v>
      </c>
      <c r="R109" s="28">
        <f>IF(AND(C146&gt;B109,C146&lt;=C109),C146,0)</f>
        <v>0</v>
      </c>
      <c r="S109" s="31">
        <f>IF(Q109&gt;0,IF(Q109=B109,D109,IF(AND(Q109&gt;B109,Q109&lt;=C109),D108+(Q109-B109)*((D109-D108)/(C109-B109)),0)),0)</f>
        <v>0</v>
      </c>
      <c r="T109" s="29">
        <f>IF(R109&gt;0,IF(R109=B109,D109,IF(AND(R109&gt;B109,R109&lt;=C109),D108+(R109-B109)*((D109-D108)/(C109-B109)),0)),0)</f>
        <v>0</v>
      </c>
      <c r="U109" s="32">
        <f>IF(C153 = 1,IF(AND(C156&gt;B109,C156&lt;=C109),C156,0),0)</f>
        <v>0</v>
      </c>
      <c r="V109" s="28">
        <f>IF(C153 = 1,IF(AND((MIN(C135,C145)-C142)&gt;B109,(MIN(C135,C145)-C142)&lt;=C109),(MIN(C135,C145)-C142),0),0)</f>
        <v>0</v>
      </c>
      <c r="W109" s="31">
        <f>IF(U109&gt;0,IF(U109=B109,D109,IF(AND(U109&gt;B109,U109&lt;=C109),D108+(U109-B109)*((D109-D108)/(C109-B109)),0)),0)</f>
        <v>0</v>
      </c>
      <c r="X109" s="29">
        <f>IF(V109&gt;0,IF(V109=B109,D109,IF(AND(V109&gt;B109,V109&lt;=C109),D108+(V109-B109)*((D109-D108)/(C109-B109)),0)),0)</f>
        <v>0</v>
      </c>
      <c r="Y109" s="32">
        <f>IF(C153 = 1,IF(AND(C157&gt;B109,C157&lt;=C109),C157,0),0)</f>
        <v>0</v>
      </c>
      <c r="Z109" s="28">
        <f>IF(C153 = 1,IF(AND((MIN(C135,C145)-C142)&gt;B109,(MIN(C135,C145)-C142)&lt;=C109),(MIN(C135,C145)-C142),0),0)</f>
        <v>0</v>
      </c>
      <c r="AA109" s="31">
        <f>IF(Y109&gt;0,IF(Y109=B109,D109,IF(AND(Y109&gt;B109,Y109&lt;=C109),D108+(Y109-B109)*((D109-D108)/(C109-B109)),0)),0)</f>
        <v>0</v>
      </c>
      <c r="AB109" s="29">
        <f>IF(Z109&gt;0,IF(Z109=B109,D109,IF(AND(Z109&gt;B109,Z109&lt;=C109),D108+(Z109-B109)*((D109-D108)/(C109-B109)),0)),0)</f>
        <v>0</v>
      </c>
    </row>
    <row r="110" spans="1:28" ht="15.75" thickBot="1" x14ac:dyDescent="0.3">
      <c r="A110" s="33">
        <v>3</v>
      </c>
      <c r="B110" s="34">
        <v>75</v>
      </c>
      <c r="C110" s="34">
        <v>100</v>
      </c>
      <c r="D110" s="35">
        <v>30</v>
      </c>
      <c r="E110" s="36">
        <f>IF(AND(C123&gt;B110,C123&lt;=C110),C123,IF(C123&gt;C110,C123,0))</f>
        <v>0</v>
      </c>
      <c r="F110" s="37">
        <v>0</v>
      </c>
      <c r="G110" s="35">
        <f>IF(E110&gt;0,IF(E110=C110,D110,IF(AND(E110&gt;B110,E110&lt;C110),D109+(E110-B110)*((D110-D109)/(C110-B110)),IF(E110&gt;C110,D110,0))),0)</f>
        <v>0</v>
      </c>
      <c r="H110" s="38">
        <f>IF(AND(C132&gt;B110,C132&lt;=C110),C132,IF(C132&gt;C110,C132,0))</f>
        <v>0</v>
      </c>
      <c r="I110" s="37">
        <v>0</v>
      </c>
      <c r="J110" s="35">
        <f>IF(H110&gt;0,IF(H110=B110,D110,IF(AND(H110&gt;B110,H110&lt;=C110),D109+(H110-B110)*((D110-D109)/(C110-B110)),IF(H110&gt;C110,D110,0))),0)</f>
        <v>0</v>
      </c>
      <c r="K110" s="38">
        <f>IF(AND(C134&gt;B110,C134&lt;=C110),C134,IF(C134&gt;C110,C134,0))</f>
        <v>80</v>
      </c>
      <c r="L110" s="37">
        <v>0</v>
      </c>
      <c r="M110" s="35">
        <f>IF(K110&gt;0,IF(K110=B110,D110,IF(AND(K110&gt;B110,K110&lt;=C110),D109+(K110-B110)*((D110-D109)/(C110-B110)),IF(K110&gt;C110,D110,0))),0)</f>
        <v>26</v>
      </c>
      <c r="N110" s="38">
        <f>IF(AND(C135&gt;B110,C135&lt;=C110),C135,IF(C135&gt;C110,C135,0))</f>
        <v>100</v>
      </c>
      <c r="O110" s="37">
        <v>0</v>
      </c>
      <c r="P110" s="35">
        <f>IF(N110&gt;0,IF(N110=B110,D110,IF(AND(N110&gt;B110,N110&lt;=C110),D109+(N110-B110)*((D110-D109)/(C110-B110)),IF(N110&gt;C110,D110,0))),0)</f>
        <v>30</v>
      </c>
      <c r="Q110" s="38">
        <f>IF(AND(C123&gt;B110,C123&lt;=C110),C123,0)</f>
        <v>0</v>
      </c>
      <c r="R110" s="34">
        <f>IF(AND(MAX(C146,C153)&gt;B110,MAX(C146,C153)&lt;=C110),MAX(C146,C153),0)</f>
        <v>100</v>
      </c>
      <c r="S110" s="37">
        <f>IF(Q110&gt;0,IF(Q110=B110,D110,IF(AND(Q110&gt;B110,Q110&lt;=C110),D109+(Q110-B110)*((D110-D109)/(C110-B110)),IF(Q110&gt;C110,D110,0))),0)</f>
        <v>0</v>
      </c>
      <c r="T110" s="35">
        <f>IF(R110&gt;0,IF(R110=B110,D110,IF(AND(R110&gt;B110,R110&lt;=C110),D109+(R110-B110)*((D110-D109)/(C110-B110)),IF(R110&gt;C110,D110,0))),0)</f>
        <v>30</v>
      </c>
      <c r="U110" s="38">
        <f>IF(C153 = 1,IF(AND(C156&gt;B110,C156&lt;=C110),C156,0),0)</f>
        <v>80</v>
      </c>
      <c r="V110" s="34">
        <f>IF(C153 = 1,IF(AND((MIN(C135,C145)-C142)&gt;B110,(MIN(C135,C145)-C142)&lt;=C110),(MIN(C135,C145)-C142),0),0)</f>
        <v>100</v>
      </c>
      <c r="W110" s="37">
        <f>IF(U110&gt;0,IF(U110=B110,D110,IF(AND(U110&gt;B110,U110&lt;=C110),D109+(U110-B110)*((D110-D109)/(C110-B110)),IF(U110&gt;C110,D110,0))),0)</f>
        <v>26</v>
      </c>
      <c r="X110" s="35">
        <f>IF(V110&gt;0,IF(V110=B110,D110,IF(AND(V110&gt;B110,V110&lt;=C110),D109+(V110-B110)*((D110-D109)/(C110-B110)),IF(V110&gt;C110,D110,0))),0)</f>
        <v>30</v>
      </c>
      <c r="Y110" s="38">
        <f>IF(C153 = 1,IF(AND(C157&gt;B110,C157&lt;=C110),C157,0),0)</f>
        <v>100</v>
      </c>
      <c r="Z110" s="34">
        <f>IF(C153 = 1,IF(AND((MIN(C135,C145)-C142)&gt;B110,(MIN(C135,C145)-C142)&lt;=C110),(MIN(C135,C145)-C142),0),0)</f>
        <v>100</v>
      </c>
      <c r="AA110" s="37">
        <f>IF(Y110&gt;0,IF(Y110=B110,D110,IF(AND(Y110&gt;B110,Y110&lt;=C110),D109+(Y110-B110)*((D110-D109)/(C110-B110)),IF(Y110&gt;C110,D110,0))),0)</f>
        <v>30</v>
      </c>
      <c r="AB110" s="35">
        <f>IF(Z110&gt;0,IF(Z110=B110,D110,IF(AND(Z110&gt;B110,Z110&lt;=C110),D109+(Z110-B110)*((D110-D109)/(C110-B110)),IF(Z110&gt;C110,D110,0))),0)</f>
        <v>30</v>
      </c>
    </row>
    <row r="111" spans="1:28" ht="15" thickBot="1" x14ac:dyDescent="0.25">
      <c r="J111" s="39"/>
    </row>
    <row r="112" spans="1:28" ht="15.75" thickBot="1" x14ac:dyDescent="0.3">
      <c r="A112" s="9" t="s">
        <v>1</v>
      </c>
      <c r="B112" s="9"/>
      <c r="C112" s="10"/>
      <c r="D112" s="10"/>
      <c r="E112" s="10"/>
      <c r="F112" s="11"/>
      <c r="G112" s="40"/>
      <c r="H112" s="6" t="s">
        <v>19</v>
      </c>
      <c r="I112" s="7"/>
      <c r="J112" s="7"/>
      <c r="K112" s="7"/>
      <c r="L112" s="7"/>
      <c r="M112" s="8"/>
      <c r="O112" s="6" t="s">
        <v>20</v>
      </c>
      <c r="P112" s="7"/>
      <c r="Q112" s="7"/>
      <c r="R112" s="7"/>
      <c r="S112" s="7"/>
      <c r="T112" s="8"/>
      <c r="V112" s="6" t="s">
        <v>21</v>
      </c>
      <c r="W112" s="7"/>
      <c r="X112" s="7"/>
      <c r="Y112" s="7"/>
      <c r="Z112" s="7"/>
      <c r="AA112" s="8"/>
    </row>
    <row r="113" spans="1:47" ht="30.75" thickBot="1" x14ac:dyDescent="0.3">
      <c r="A113" s="18" t="s">
        <v>8</v>
      </c>
      <c r="B113" s="13" t="s">
        <v>9</v>
      </c>
      <c r="C113" s="13" t="s">
        <v>10</v>
      </c>
      <c r="D113" s="13" t="s">
        <v>15</v>
      </c>
      <c r="E113" s="13" t="s">
        <v>16</v>
      </c>
      <c r="F113" s="5" t="s">
        <v>22</v>
      </c>
      <c r="G113" s="40"/>
      <c r="H113" s="41" t="s">
        <v>8</v>
      </c>
      <c r="I113" s="16" t="s">
        <v>9</v>
      </c>
      <c r="J113" s="16" t="s">
        <v>10</v>
      </c>
      <c r="K113" s="16" t="s">
        <v>15</v>
      </c>
      <c r="L113" s="16" t="s">
        <v>16</v>
      </c>
      <c r="M113" s="17" t="s">
        <v>22</v>
      </c>
      <c r="O113" s="41" t="s">
        <v>8</v>
      </c>
      <c r="P113" s="16" t="s">
        <v>9</v>
      </c>
      <c r="Q113" s="16" t="s">
        <v>10</v>
      </c>
      <c r="R113" s="16" t="s">
        <v>15</v>
      </c>
      <c r="S113" s="16" t="s">
        <v>16</v>
      </c>
      <c r="T113" s="17" t="s">
        <v>22</v>
      </c>
      <c r="V113" s="41" t="s">
        <v>8</v>
      </c>
      <c r="W113" s="16" t="s">
        <v>9</v>
      </c>
      <c r="X113" s="16" t="s">
        <v>10</v>
      </c>
      <c r="Y113" s="16" t="s">
        <v>15</v>
      </c>
      <c r="Z113" s="16" t="s">
        <v>16</v>
      </c>
      <c r="AA113" s="17" t="s">
        <v>22</v>
      </c>
    </row>
    <row r="114" spans="1:47" ht="15" x14ac:dyDescent="0.25">
      <c r="A114" s="20">
        <v>1</v>
      </c>
      <c r="B114" s="21">
        <v>0</v>
      </c>
      <c r="C114" s="21">
        <f>IF(AND(C123&gt;B108,C123&lt;C108),C123,IF(C123&gt;=C108,C108,0))</f>
        <v>0</v>
      </c>
      <c r="D114" s="24">
        <f>MIN(D108,F108)</f>
        <v>0</v>
      </c>
      <c r="E114" s="24">
        <f>IF(AND(C123&gt;B108,C123&lt;C108),G108,IF(C123&gt;=C108,D108,0))</f>
        <v>0</v>
      </c>
      <c r="F114" s="22">
        <f>(C114-B114)*(D114+E114)/2</f>
        <v>0</v>
      </c>
      <c r="G114" s="42"/>
      <c r="H114" s="20">
        <v>1</v>
      </c>
      <c r="I114" s="21">
        <v>0</v>
      </c>
      <c r="J114" s="21">
        <f>IF(AND(C132&gt;B108,C132&lt;C108),C132,IF(C132&gt;=C108,C108,0))</f>
        <v>50</v>
      </c>
      <c r="K114" s="24">
        <f>MIN(D108,I108)</f>
        <v>20</v>
      </c>
      <c r="L114" s="24">
        <f>IF(AND(C132&gt;B108,C132&lt;C108),J108,IF(C132&gt;=C108,D108,0))</f>
        <v>20</v>
      </c>
      <c r="M114" s="22">
        <f>(J114-I114)*(K114+L114)/2</f>
        <v>1000</v>
      </c>
      <c r="O114" s="43">
        <v>1</v>
      </c>
      <c r="P114" s="44">
        <v>0</v>
      </c>
      <c r="Q114" s="44">
        <f>IF(AND(C134&gt;B108,C134&lt;C108),C134,IF(C134&gt;=C108,C108,0))</f>
        <v>50</v>
      </c>
      <c r="R114" s="24">
        <f>MIN(D108,L108)</f>
        <v>20</v>
      </c>
      <c r="S114" s="24">
        <f>IF(AND(C134&gt;B108,C134&lt;C108),M108,IF(C134&gt;=C108,D108,0))</f>
        <v>20</v>
      </c>
      <c r="T114" s="22">
        <f>(Q114-P114)*(R114+S114)/2</f>
        <v>1000</v>
      </c>
      <c r="V114" s="43">
        <v>1</v>
      </c>
      <c r="W114" s="44">
        <v>0</v>
      </c>
      <c r="X114" s="44">
        <f>IF(AND(C135&gt;B108,C135&lt;C108),C135,IF(C135&gt;=C108,C108,0))</f>
        <v>50</v>
      </c>
      <c r="Y114" s="24">
        <f>MIN(D108,O108)</f>
        <v>20</v>
      </c>
      <c r="Z114" s="24">
        <f>IF(AND(C135&gt;B108,C135&lt;B108),P108,IF(C135&gt;=B108,D108,0))</f>
        <v>20</v>
      </c>
      <c r="AA114" s="22">
        <f>(X114-W114)*(Y114+Z114)/2</f>
        <v>1000</v>
      </c>
    </row>
    <row r="115" spans="1:47" ht="15" x14ac:dyDescent="0.25">
      <c r="A115" s="27">
        <v>2</v>
      </c>
      <c r="B115" s="28">
        <f>IF(C123&gt;B109,C114,0)</f>
        <v>0</v>
      </c>
      <c r="C115" s="28">
        <f>IF(AND(C123&gt;B109,C123&lt;C109),C123,IF(C123&gt;=C109,C109,0))</f>
        <v>0</v>
      </c>
      <c r="D115" s="31">
        <f>IF(B115&lt;&gt;0,E114,0)</f>
        <v>0</v>
      </c>
      <c r="E115" s="31">
        <f>IF(AND(C123&gt;B109,C123&lt;C109),G109,IF(C123&gt;=C109,D109,0))</f>
        <v>0</v>
      </c>
      <c r="F115" s="29">
        <f>(C115-B115)*(D115+E115)/2</f>
        <v>0</v>
      </c>
      <c r="G115" s="45"/>
      <c r="H115" s="27">
        <v>2</v>
      </c>
      <c r="I115" s="28">
        <f>IF(C132&gt;B109,J114,0)</f>
        <v>0</v>
      </c>
      <c r="J115" s="28">
        <f>IF(AND(C132&gt;B109,C132&lt;C109),C132,IF(C132&gt;=C109,C109,0))</f>
        <v>0</v>
      </c>
      <c r="K115" s="31">
        <f>IF(I115&lt;&gt;0,L114,0)</f>
        <v>0</v>
      </c>
      <c r="L115" s="31">
        <f>IF(AND(C132&gt;B109,C132&lt;C109),J109,IF(C132&gt;=C109,D109,0))</f>
        <v>0</v>
      </c>
      <c r="M115" s="29">
        <f>(J115-I115)*(K115+L115)/2</f>
        <v>0</v>
      </c>
      <c r="O115" s="46">
        <v>2</v>
      </c>
      <c r="P115" s="47">
        <f>IF(C134&gt;B109,Q114,0)</f>
        <v>50</v>
      </c>
      <c r="Q115" s="47">
        <f>IF(AND(C134&gt;B109,C134&lt;C109),C134,IF(C134&gt;=C109,C109,0))</f>
        <v>75</v>
      </c>
      <c r="R115" s="31">
        <f>IF(P115&lt;&gt;0,S114,0)</f>
        <v>20</v>
      </c>
      <c r="S115" s="31">
        <f>IF(AND(C134&gt;B109,C134&lt;C109),M109,IF(C134&gt;=C109,D109,0))</f>
        <v>25</v>
      </c>
      <c r="T115" s="29">
        <f>(Q115-P115)*(R115+S115)/2</f>
        <v>562.5</v>
      </c>
      <c r="V115" s="46">
        <v>2</v>
      </c>
      <c r="W115" s="47">
        <f>IF(C135&gt;B109,X114,0)</f>
        <v>50</v>
      </c>
      <c r="X115" s="47">
        <f>IF(AND(C135&gt;B109,C135&lt;C109),C135,IF(C135&gt;=C109,C109,0))</f>
        <v>75</v>
      </c>
      <c r="Y115" s="31">
        <f>IF(W115&lt;&gt;0,Z114,0)</f>
        <v>20</v>
      </c>
      <c r="Z115" s="31">
        <f>IF(AND(C135&gt;B109,C135&lt;C109),P109,IF(C135&gt;=C109,D109,0))</f>
        <v>25</v>
      </c>
      <c r="AA115" s="29">
        <f>(X115-W115)*(Y115+Z115)/2</f>
        <v>562.5</v>
      </c>
    </row>
    <row r="116" spans="1:47" ht="15" x14ac:dyDescent="0.25">
      <c r="A116" s="27">
        <v>3</v>
      </c>
      <c r="B116" s="28">
        <f>IF(C123&gt;B110,C115,0)</f>
        <v>0</v>
      </c>
      <c r="C116" s="28">
        <f>IF(AND(C123&gt;B110,C123&lt;C110),C123,IF(C123&gt;=C110,C110,0))</f>
        <v>0</v>
      </c>
      <c r="D116" s="31">
        <f>IF(B116&lt;&gt;0,E115,0)</f>
        <v>0</v>
      </c>
      <c r="E116" s="31">
        <f>IF(AND(C123&gt;B110,C123&lt;C110),G110,IF(C123&gt;=C110,D110,0))</f>
        <v>0</v>
      </c>
      <c r="F116" s="29">
        <f>(C116-B116)*(D116+E116)/2</f>
        <v>0</v>
      </c>
      <c r="G116" s="45"/>
      <c r="H116" s="27">
        <v>3</v>
      </c>
      <c r="I116" s="28">
        <f>IF(C132&gt;B110,J115,0)</f>
        <v>0</v>
      </c>
      <c r="J116" s="28">
        <f>IF(AND(C132&gt;B110,C132&lt;C110),C132,IF(C132&gt;=C110,C110,0))</f>
        <v>0</v>
      </c>
      <c r="K116" s="31">
        <f>IF(I116&lt;&gt;0,L115,0)</f>
        <v>0</v>
      </c>
      <c r="L116" s="31">
        <f>IF(AND(C132&gt;B110,C132&lt;C110),J110,IF(C132&gt;=C110,D110,0))</f>
        <v>0</v>
      </c>
      <c r="M116" s="29">
        <f>(J116-I116)*(K116+L116)/2</f>
        <v>0</v>
      </c>
      <c r="O116" s="46">
        <v>3</v>
      </c>
      <c r="P116" s="47">
        <f>IF(C134&gt;B110,Q115,0)</f>
        <v>75</v>
      </c>
      <c r="Q116" s="47">
        <f>IF(AND(C134&gt;B110,C134&lt;C110),C134,IF(C134&gt;=C110,C110,0))</f>
        <v>80</v>
      </c>
      <c r="R116" s="31">
        <f>IF(P116&lt;&gt;0,S115,0)</f>
        <v>25</v>
      </c>
      <c r="S116" s="31">
        <f>IF(AND(C134&gt;B110,C134&lt;C110),M110,IF(C134&gt;=C110,D110,0))</f>
        <v>26</v>
      </c>
      <c r="T116" s="29">
        <f>(Q116-P116)*(R116+S116)/2</f>
        <v>127.5</v>
      </c>
      <c r="V116" s="46">
        <v>3</v>
      </c>
      <c r="W116" s="47">
        <f>IF(C135&gt;B110,X115,0)</f>
        <v>75</v>
      </c>
      <c r="X116" s="47">
        <f>IF(AND(C135&gt;B110,C135&lt;C110),C135,IF(C135&gt;=C110,C110,0))</f>
        <v>100</v>
      </c>
      <c r="Y116" s="31">
        <f>IF(W116&lt;&gt;0,Z115,0)</f>
        <v>25</v>
      </c>
      <c r="Z116" s="31">
        <f>IF(AND(C135&gt;B110,C135&lt;C110),P110,IF(C135&gt;=C110,D110,0))</f>
        <v>30</v>
      </c>
      <c r="AA116" s="29">
        <f>(X116-W116)*(Y116+Z116)/2</f>
        <v>687.5</v>
      </c>
    </row>
    <row r="117" spans="1:47" ht="15" x14ac:dyDescent="0.25">
      <c r="A117" s="27">
        <v>4</v>
      </c>
      <c r="B117" s="28">
        <f>IF(C123&gt;C110,C116,0)</f>
        <v>0</v>
      </c>
      <c r="C117" s="28">
        <f>IF(C123&gt;C110,C123,0)</f>
        <v>0</v>
      </c>
      <c r="D117" s="31">
        <f>IF(B117&lt;&gt;0,E116,0)</f>
        <v>0</v>
      </c>
      <c r="E117" s="31">
        <f>IF(C123&gt;C110,D110,0)</f>
        <v>0</v>
      </c>
      <c r="F117" s="29">
        <f>(C117-B117)*(D117+E117)/2</f>
        <v>0</v>
      </c>
      <c r="G117" s="45"/>
      <c r="H117" s="27">
        <v>4</v>
      </c>
      <c r="I117" s="28">
        <f>IF(C132&gt;C110,J116,0)</f>
        <v>0</v>
      </c>
      <c r="J117" s="28">
        <f>IF(C132&gt;C110,C132,0)</f>
        <v>0</v>
      </c>
      <c r="K117" s="31">
        <f>IF(I117&lt;&gt;0,L116,0)</f>
        <v>0</v>
      </c>
      <c r="L117" s="31">
        <f>IF(J117&gt;0,IF(C132&gt;=C110,J110,IF(AND(C132&gt;B110,C132&lt;C110),J110,0)),0)</f>
        <v>0</v>
      </c>
      <c r="M117" s="29">
        <f>(J117-I117)*(K117+L117)/2</f>
        <v>0</v>
      </c>
      <c r="O117" s="46">
        <v>4</v>
      </c>
      <c r="P117" s="47">
        <f>IF(C134&gt;C110,Q116,0)</f>
        <v>0</v>
      </c>
      <c r="Q117" s="47">
        <f>IF(C134&gt;C110,C134,0)</f>
        <v>0</v>
      </c>
      <c r="R117" s="31">
        <f>IF(P117&lt;&gt;0,S116,0)</f>
        <v>0</v>
      </c>
      <c r="S117" s="31">
        <f>IF(Q117&gt;0,IF(C134&gt;=C110,J110,IF(AND(C134&gt;B110,C134&lt;C110),J110,0)),0)</f>
        <v>0</v>
      </c>
      <c r="T117" s="29">
        <f>(Q117-P117)*(R117+S117)/2</f>
        <v>0</v>
      </c>
      <c r="V117" s="46">
        <v>4</v>
      </c>
      <c r="W117" s="47">
        <f>IF(C135&gt;C110,X116,0)</f>
        <v>0</v>
      </c>
      <c r="X117" s="47">
        <f>IF(C135&gt;C110,C135,IF(AND(C135&gt;C110,C135&lt;C110),C135,0))</f>
        <v>0</v>
      </c>
      <c r="Y117" s="31">
        <f>IF(W117&lt;&gt;0,Z116,0)</f>
        <v>0</v>
      </c>
      <c r="Z117" s="31">
        <f>IF(X117&gt;0,IF(C135&gt;=C110,P110,IF(AND(C135&gt;B110,C135&lt;C110),P110,0)),0)</f>
        <v>0</v>
      </c>
      <c r="AA117" s="29">
        <f>(X117-W117)*(Y117+Z117)/2</f>
        <v>0</v>
      </c>
    </row>
    <row r="118" spans="1:47" ht="15" thickBot="1" x14ac:dyDescent="0.25">
      <c r="A118" s="38"/>
      <c r="B118" s="34"/>
      <c r="C118" s="34"/>
      <c r="D118" s="48"/>
      <c r="E118" s="48"/>
      <c r="F118" s="49">
        <f>SUM(F114:F117)</f>
        <v>0</v>
      </c>
      <c r="G118" s="50"/>
      <c r="H118" s="38"/>
      <c r="I118" s="34"/>
      <c r="J118" s="34"/>
      <c r="K118" s="48"/>
      <c r="L118" s="48"/>
      <c r="M118" s="49">
        <f>SUM(M114:M117)</f>
        <v>1000</v>
      </c>
      <c r="O118" s="51"/>
      <c r="P118" s="52"/>
      <c r="Q118" s="52"/>
      <c r="R118" s="52"/>
      <c r="S118" s="52"/>
      <c r="T118" s="49">
        <f>SUM(T114:T117)</f>
        <v>1690</v>
      </c>
      <c r="V118" s="51"/>
      <c r="W118" s="52"/>
      <c r="X118" s="52"/>
      <c r="Y118" s="52"/>
      <c r="Z118" s="52"/>
      <c r="AA118" s="49">
        <f>SUM(AA114:AA117)</f>
        <v>2250</v>
      </c>
    </row>
    <row r="119" spans="1:47" ht="15" thickBot="1" x14ac:dyDescent="0.25">
      <c r="A119" s="28"/>
      <c r="B119" s="28"/>
      <c r="C119" s="28"/>
      <c r="D119" s="204"/>
      <c r="E119" s="204"/>
      <c r="F119" s="31"/>
      <c r="G119" s="123"/>
      <c r="H119" s="28"/>
      <c r="I119" s="28"/>
      <c r="J119" s="28"/>
      <c r="K119" s="204"/>
      <c r="L119" s="204"/>
      <c r="M119" s="31"/>
      <c r="O119" s="205"/>
      <c r="P119" s="205"/>
      <c r="Q119" s="205"/>
      <c r="R119" s="205"/>
      <c r="S119" s="205"/>
      <c r="T119" s="31"/>
      <c r="V119" s="205"/>
      <c r="W119" s="205"/>
      <c r="X119" s="205"/>
      <c r="Y119" s="205"/>
      <c r="Z119" s="205"/>
      <c r="AA119" s="31"/>
    </row>
    <row r="120" spans="1:47" ht="15" thickBot="1" x14ac:dyDescent="0.25">
      <c r="M120" s="221"/>
      <c r="N120" s="222"/>
      <c r="O120" s="222"/>
      <c r="P120" s="222"/>
      <c r="Q120" s="222"/>
      <c r="R120" s="222"/>
      <c r="S120" s="222"/>
      <c r="T120" s="222"/>
      <c r="U120" s="222"/>
      <c r="V120" s="222"/>
      <c r="W120" s="222"/>
      <c r="X120" s="222"/>
      <c r="Y120" s="222"/>
      <c r="Z120" s="222"/>
      <c r="AA120" s="217"/>
      <c r="AB120" s="246"/>
      <c r="AC120" s="247"/>
      <c r="AD120" s="247"/>
      <c r="AE120" s="247"/>
      <c r="AF120" s="247"/>
      <c r="AG120" s="247"/>
      <c r="AH120" s="247"/>
      <c r="AI120" s="247"/>
      <c r="AJ120" s="247"/>
      <c r="AK120" s="247"/>
      <c r="AL120" s="247"/>
      <c r="AM120" s="247"/>
      <c r="AN120" s="247"/>
      <c r="AO120" s="247"/>
      <c r="AP120" s="248"/>
    </row>
    <row r="121" spans="1:47" ht="15.75" thickBot="1" x14ac:dyDescent="0.3">
      <c r="A121" s="53" t="s">
        <v>23</v>
      </c>
      <c r="B121" s="54"/>
      <c r="C121" s="54"/>
      <c r="D121" s="54"/>
      <c r="E121" s="55"/>
      <c r="F121" s="57" t="s">
        <v>25</v>
      </c>
      <c r="G121" s="58"/>
      <c r="H121" s="58"/>
      <c r="I121" s="58"/>
      <c r="J121" s="57"/>
      <c r="K121" s="59"/>
      <c r="L121" s="174"/>
      <c r="M121" s="229"/>
      <c r="N121" s="57" t="s">
        <v>26</v>
      </c>
      <c r="O121" s="58"/>
      <c r="P121" s="58"/>
      <c r="Q121" s="58"/>
      <c r="R121" s="58"/>
      <c r="S121" s="59"/>
      <c r="T121" s="223"/>
      <c r="U121" s="57" t="s">
        <v>92</v>
      </c>
      <c r="V121" s="58"/>
      <c r="W121" s="58"/>
      <c r="X121" s="58"/>
      <c r="Y121" s="58"/>
      <c r="Z121" s="60"/>
      <c r="AA121" s="218"/>
      <c r="AB121" s="249"/>
      <c r="AC121" s="57" t="s">
        <v>27</v>
      </c>
      <c r="AD121" s="58"/>
      <c r="AE121" s="58"/>
      <c r="AF121" s="58"/>
      <c r="AG121" s="58"/>
      <c r="AH121" s="59"/>
      <c r="AI121" s="251"/>
      <c r="AJ121" s="57" t="s">
        <v>95</v>
      </c>
      <c r="AK121" s="58"/>
      <c r="AL121" s="58"/>
      <c r="AM121" s="58"/>
      <c r="AN121" s="58"/>
      <c r="AO121" s="60"/>
      <c r="AP121" s="259"/>
      <c r="AQ121" s="96"/>
      <c r="AR121" s="96"/>
      <c r="AS121" s="96"/>
      <c r="AT121" s="96"/>
      <c r="AU121" s="78"/>
    </row>
    <row r="122" spans="1:47" ht="15.75" thickBot="1" x14ac:dyDescent="0.3">
      <c r="A122" s="61" t="s">
        <v>28</v>
      </c>
      <c r="B122" s="62"/>
      <c r="C122" s="63"/>
      <c r="D122" s="63"/>
      <c r="E122" s="206"/>
      <c r="F122" s="57" t="s">
        <v>29</v>
      </c>
      <c r="G122" s="58"/>
      <c r="H122" s="58"/>
      <c r="I122" s="57"/>
      <c r="J122" s="58" t="s">
        <v>30</v>
      </c>
      <c r="K122" s="66"/>
      <c r="L122" s="67"/>
      <c r="M122" s="230"/>
      <c r="N122" s="68" t="s">
        <v>29</v>
      </c>
      <c r="O122" s="69"/>
      <c r="P122" s="69"/>
      <c r="Q122" s="68"/>
      <c r="R122" s="69" t="s">
        <v>30</v>
      </c>
      <c r="S122" s="70"/>
      <c r="T122" s="224"/>
      <c r="U122" s="57" t="s">
        <v>29</v>
      </c>
      <c r="V122" s="58"/>
      <c r="W122" s="58"/>
      <c r="X122" s="57"/>
      <c r="Y122" s="66" t="s">
        <v>30</v>
      </c>
      <c r="Z122" s="66"/>
      <c r="AA122" s="218"/>
      <c r="AB122" s="249"/>
      <c r="AC122" s="68" t="s">
        <v>29</v>
      </c>
      <c r="AD122" s="69"/>
      <c r="AE122" s="69"/>
      <c r="AF122" s="68"/>
      <c r="AG122" s="69" t="s">
        <v>30</v>
      </c>
      <c r="AH122" s="70"/>
      <c r="AI122" s="251"/>
      <c r="AJ122" s="57" t="s">
        <v>29</v>
      </c>
      <c r="AK122" s="58"/>
      <c r="AL122" s="58"/>
      <c r="AM122" s="57"/>
      <c r="AN122" s="66" t="s">
        <v>30</v>
      </c>
      <c r="AO122" s="66"/>
      <c r="AP122" s="260"/>
      <c r="AQ122" s="67"/>
      <c r="AR122" s="67"/>
      <c r="AS122" s="67"/>
      <c r="AT122" s="67"/>
      <c r="AU122" s="78"/>
    </row>
    <row r="123" spans="1:47" ht="15" x14ac:dyDescent="0.25">
      <c r="A123" s="71" t="s">
        <v>12</v>
      </c>
      <c r="B123" s="72"/>
      <c r="C123" s="73">
        <v>0</v>
      </c>
      <c r="D123" s="74"/>
      <c r="E123" s="157"/>
      <c r="F123" s="179" t="s">
        <v>32</v>
      </c>
      <c r="G123" s="280"/>
      <c r="H123" s="280"/>
      <c r="I123" s="280"/>
      <c r="J123" s="81">
        <f>C142*C143</f>
        <v>0</v>
      </c>
      <c r="K123" s="82"/>
      <c r="L123" s="96"/>
      <c r="M123" s="227"/>
      <c r="N123" s="187" t="s">
        <v>33</v>
      </c>
      <c r="O123" s="278"/>
      <c r="P123" s="278"/>
      <c r="Q123" s="278"/>
      <c r="R123" s="81">
        <f>(C150-C142)*C152</f>
        <v>600</v>
      </c>
      <c r="S123" s="82"/>
      <c r="T123" s="214"/>
      <c r="U123" s="187"/>
      <c r="V123" s="80"/>
      <c r="W123" s="80"/>
      <c r="X123" s="80"/>
      <c r="Y123" s="80"/>
      <c r="Z123" s="84"/>
      <c r="AA123" s="219"/>
      <c r="AB123" s="249"/>
      <c r="AC123" s="187" t="s">
        <v>33</v>
      </c>
      <c r="AD123" s="278"/>
      <c r="AE123" s="278"/>
      <c r="AF123" s="278"/>
      <c r="AG123" s="81">
        <f>(C151-C142)*C152</f>
        <v>600</v>
      </c>
      <c r="AH123" s="82"/>
      <c r="AI123" s="251"/>
      <c r="AJ123" s="92"/>
      <c r="AK123" s="93"/>
      <c r="AL123" s="93"/>
      <c r="AM123" s="93"/>
      <c r="AN123" s="80"/>
      <c r="AO123" s="84"/>
      <c r="AP123" s="261"/>
      <c r="AQ123" s="176"/>
      <c r="AR123" s="176"/>
      <c r="AS123" s="176"/>
      <c r="AT123" s="144"/>
      <c r="AU123" s="78"/>
    </row>
    <row r="124" spans="1:47" ht="15" x14ac:dyDescent="0.25">
      <c r="A124" s="85" t="s">
        <v>34</v>
      </c>
      <c r="B124" s="86"/>
      <c r="C124" s="87">
        <v>0</v>
      </c>
      <c r="D124" s="88"/>
      <c r="E124" s="207"/>
      <c r="F124" s="183"/>
      <c r="G124" s="93"/>
      <c r="H124" s="93"/>
      <c r="I124" s="93"/>
      <c r="J124" s="94"/>
      <c r="K124" s="95"/>
      <c r="L124" s="96"/>
      <c r="M124" s="227"/>
      <c r="N124" s="179"/>
      <c r="O124" s="280"/>
      <c r="P124" s="280"/>
      <c r="Q124" s="280"/>
      <c r="R124" s="94"/>
      <c r="S124" s="95"/>
      <c r="T124" s="214"/>
      <c r="U124" s="179" t="s">
        <v>35</v>
      </c>
      <c r="V124" s="280"/>
      <c r="W124" s="280"/>
      <c r="X124" s="280"/>
      <c r="Y124" s="147">
        <f>R137</f>
        <v>0</v>
      </c>
      <c r="Z124" s="97"/>
      <c r="AA124" s="219"/>
      <c r="AB124" s="249"/>
      <c r="AC124" s="92"/>
      <c r="AD124" s="93"/>
      <c r="AE124" s="93"/>
      <c r="AF124" s="93"/>
      <c r="AG124" s="94"/>
      <c r="AH124" s="95"/>
      <c r="AI124" s="251"/>
      <c r="AJ124" s="92" t="s">
        <v>35</v>
      </c>
      <c r="AK124" s="93"/>
      <c r="AL124" s="93"/>
      <c r="AM124" s="93"/>
      <c r="AN124" s="147">
        <f>AG137</f>
        <v>0</v>
      </c>
      <c r="AO124" s="97"/>
      <c r="AP124" s="262"/>
      <c r="AQ124" s="67"/>
      <c r="AR124" s="67"/>
      <c r="AS124" s="67"/>
      <c r="AT124" s="144"/>
      <c r="AU124" s="78"/>
    </row>
    <row r="125" spans="1:47" ht="15" x14ac:dyDescent="0.25">
      <c r="A125" s="85" t="s">
        <v>36</v>
      </c>
      <c r="B125" s="86"/>
      <c r="C125" s="87">
        <v>0</v>
      </c>
      <c r="D125" s="88"/>
      <c r="E125" s="207"/>
      <c r="F125" s="179" t="s">
        <v>37</v>
      </c>
      <c r="G125" s="280"/>
      <c r="H125" s="280"/>
      <c r="I125" s="280"/>
      <c r="J125" s="94">
        <f>IF(C144 = 1,MAX(MAX(R108:R110)-MAX(Q108:Q110),0)* MAX((C124- (MAX(S108:S110)+MAX(T108:T110))/2),0),0)</f>
        <v>0</v>
      </c>
      <c r="K125" s="95"/>
      <c r="L125" s="96"/>
      <c r="M125" s="227"/>
      <c r="N125" s="179" t="s">
        <v>38</v>
      </c>
      <c r="O125" s="280"/>
      <c r="P125" s="280"/>
      <c r="Q125" s="280"/>
      <c r="R125" s="94">
        <f>IF(C153 = 1,MAX(MAX(V108:V110)-MAX(U108:U110),0)* MAX((C133- (MAX(W108:W110)+MAX(X108:X110))/2),0),0)</f>
        <v>380</v>
      </c>
      <c r="S125" s="95"/>
      <c r="T125" s="214"/>
      <c r="U125" s="179"/>
      <c r="V125" s="100"/>
      <c r="W125" s="100"/>
      <c r="X125" s="100"/>
      <c r="Y125" s="173"/>
      <c r="Z125" s="97"/>
      <c r="AA125" s="219"/>
      <c r="AB125" s="249"/>
      <c r="AC125" s="92" t="s">
        <v>38</v>
      </c>
      <c r="AD125" s="93"/>
      <c r="AE125" s="93"/>
      <c r="AF125" s="93"/>
      <c r="AG125" s="94">
        <f>IF(C153 = 1,MAX(MAX(Z108:Z110)-MAX(Y108:Y110),0)* MAX((C133- (MAX(AA108:AA110)+MAX(AB108:AB110))/2),0),0)</f>
        <v>0</v>
      </c>
      <c r="AH125" s="95"/>
      <c r="AI125" s="251"/>
      <c r="AJ125" s="92"/>
      <c r="AK125" s="93"/>
      <c r="AL125" s="93"/>
      <c r="AM125" s="93"/>
      <c r="AN125" s="173"/>
      <c r="AO125" s="97"/>
      <c r="AP125" s="261"/>
      <c r="AQ125" s="176"/>
      <c r="AR125" s="176"/>
      <c r="AS125" s="176"/>
      <c r="AT125" s="144"/>
      <c r="AU125" s="78"/>
    </row>
    <row r="126" spans="1:47" ht="15" x14ac:dyDescent="0.25">
      <c r="A126" s="85" t="s">
        <v>39</v>
      </c>
      <c r="B126" s="86"/>
      <c r="C126" s="87">
        <v>0</v>
      </c>
      <c r="D126" s="88"/>
      <c r="E126" s="207"/>
      <c r="F126" s="185"/>
      <c r="G126" s="93"/>
      <c r="H126" s="93"/>
      <c r="I126" s="93"/>
      <c r="J126" s="94"/>
      <c r="K126" s="95"/>
      <c r="L126" s="96"/>
      <c r="M126" s="227"/>
      <c r="N126" s="179" t="s">
        <v>98</v>
      </c>
      <c r="O126" s="280"/>
      <c r="P126" s="280"/>
      <c r="Q126" s="280"/>
      <c r="R126" s="94">
        <f>IF(C158=1,MAX(MIN(R123*-1,(J125+R125)-(J123+R123)-MAX((J125-J123),0)),0),0)</f>
        <v>0</v>
      </c>
      <c r="S126" s="95"/>
      <c r="T126" s="214"/>
      <c r="U126" s="179" t="s">
        <v>41</v>
      </c>
      <c r="V126" s="280"/>
      <c r="W126" s="280"/>
      <c r="X126" s="280"/>
      <c r="Y126" s="147">
        <f>R141</f>
        <v>3760</v>
      </c>
      <c r="Z126" s="97"/>
      <c r="AA126" s="219"/>
      <c r="AB126" s="249"/>
      <c r="AC126" s="179" t="s">
        <v>98</v>
      </c>
      <c r="AD126" s="93"/>
      <c r="AE126" s="93"/>
      <c r="AF126" s="93"/>
      <c r="AG126" s="94">
        <f>IF(C199=1,MAX(MIN(AG123*-1,(J125+AG125)-(J123+AG123)-MAX((J125-J123),0)),0),0)</f>
        <v>0</v>
      </c>
      <c r="AH126" s="95"/>
      <c r="AI126" s="251"/>
      <c r="AJ126" s="92" t="s">
        <v>41</v>
      </c>
      <c r="AK126" s="93"/>
      <c r="AL126" s="93"/>
      <c r="AM126" s="93"/>
      <c r="AN126" s="147">
        <f>AG141</f>
        <v>2350</v>
      </c>
      <c r="AO126" s="97"/>
      <c r="AP126" s="260"/>
      <c r="AQ126" s="67"/>
      <c r="AR126" s="67"/>
      <c r="AS126" s="67"/>
      <c r="AT126" s="144"/>
      <c r="AU126" s="78"/>
    </row>
    <row r="127" spans="1:47" ht="15" x14ac:dyDescent="0.25">
      <c r="A127" s="105" t="s">
        <v>42</v>
      </c>
      <c r="B127" s="106"/>
      <c r="C127" s="107">
        <v>50</v>
      </c>
      <c r="D127" s="108"/>
      <c r="E127" s="157"/>
      <c r="F127" s="183"/>
      <c r="G127" s="100"/>
      <c r="H127" s="100"/>
      <c r="I127" s="100"/>
      <c r="J127" s="94"/>
      <c r="K127" s="95"/>
      <c r="L127" s="96"/>
      <c r="M127" s="227"/>
      <c r="N127" s="179" t="s">
        <v>91</v>
      </c>
      <c r="O127" s="280"/>
      <c r="P127" s="280"/>
      <c r="Q127" s="280"/>
      <c r="R127" s="94">
        <f>IF(AND(C150&lt;C142,C158=0),MAX(MIN(R141-(R144-J139),J125),0),0)+IF(AND(C150&lt;C142,C158=0),MAX(MIN((J123+R123)*-1,(R141-(R144-J139))-J125),0),0)</f>
        <v>0</v>
      </c>
      <c r="S127" s="95"/>
      <c r="T127" s="214"/>
      <c r="U127" s="179"/>
      <c r="V127" s="100"/>
      <c r="W127" s="100"/>
      <c r="X127" s="100"/>
      <c r="Y127" s="173"/>
      <c r="Z127" s="97"/>
      <c r="AA127" s="219"/>
      <c r="AB127" s="249"/>
      <c r="AC127" s="92" t="s">
        <v>94</v>
      </c>
      <c r="AD127" s="93"/>
      <c r="AE127" s="93"/>
      <c r="AF127" s="93"/>
      <c r="AG127" s="94">
        <f>IF(AND(C150&lt;C142,C199=0),MAX(MIN(AG141-(AG144-J139),J125),0),0)+IF(AND(C150&lt;C142,C199=0),MAX(MIN((J123+AG123)*-1,(AG141-(AG144-J139))-J125),0),0)</f>
        <v>0</v>
      </c>
      <c r="AH127" s="95"/>
      <c r="AI127" s="251"/>
      <c r="AJ127" s="92"/>
      <c r="AK127" s="93"/>
      <c r="AL127" s="93"/>
      <c r="AM127" s="93"/>
      <c r="AN127" s="173"/>
      <c r="AO127" s="97"/>
      <c r="AP127" s="261"/>
      <c r="AQ127" s="176"/>
      <c r="AR127" s="176"/>
      <c r="AS127" s="176"/>
      <c r="AT127" s="144"/>
      <c r="AU127" s="78"/>
    </row>
    <row r="128" spans="1:47" ht="15.75" thickBot="1" x14ac:dyDescent="0.3">
      <c r="A128" s="109" t="s">
        <v>44</v>
      </c>
      <c r="B128" s="110"/>
      <c r="C128" s="111">
        <v>100</v>
      </c>
      <c r="D128" s="112"/>
      <c r="E128" s="157"/>
      <c r="F128" s="179"/>
      <c r="G128" s="280"/>
      <c r="H128" s="280"/>
      <c r="I128" s="280"/>
      <c r="J128" s="94"/>
      <c r="K128" s="95"/>
      <c r="L128" s="96"/>
      <c r="M128" s="227"/>
      <c r="N128" s="179" t="s">
        <v>107</v>
      </c>
      <c r="O128" s="280"/>
      <c r="P128" s="280"/>
      <c r="Q128" s="280"/>
      <c r="R128" s="94">
        <f>MAX(J125-R126+R125-J123-R123-R127,0)</f>
        <v>0</v>
      </c>
      <c r="S128" s="95"/>
      <c r="T128" s="214"/>
      <c r="U128" s="179" t="s">
        <v>46</v>
      </c>
      <c r="V128" s="280"/>
      <c r="W128" s="280"/>
      <c r="X128" s="280"/>
      <c r="Y128" s="147">
        <f>R131</f>
        <v>600</v>
      </c>
      <c r="Z128" s="113"/>
      <c r="AA128" s="220"/>
      <c r="AB128" s="249"/>
      <c r="AC128" s="92" t="s">
        <v>45</v>
      </c>
      <c r="AD128" s="93"/>
      <c r="AE128" s="93"/>
      <c r="AF128" s="93"/>
      <c r="AG128" s="94">
        <f>MAX(J125-AG126+AG125-(J123+AG123)-AG127,0)</f>
        <v>0</v>
      </c>
      <c r="AH128" s="95"/>
      <c r="AI128" s="251"/>
      <c r="AJ128" s="92" t="s">
        <v>46</v>
      </c>
      <c r="AK128" s="93"/>
      <c r="AL128" s="93"/>
      <c r="AM128" s="93"/>
      <c r="AN128" s="147">
        <f>AG131</f>
        <v>600</v>
      </c>
      <c r="AO128" s="113"/>
      <c r="AP128" s="262"/>
      <c r="AQ128" s="67"/>
      <c r="AR128" s="67"/>
      <c r="AS128" s="67"/>
      <c r="AT128" s="177"/>
      <c r="AU128" s="78"/>
    </row>
    <row r="129" spans="1:54" ht="15" x14ac:dyDescent="0.25">
      <c r="C129" s="103"/>
      <c r="D129" s="103"/>
      <c r="E129" s="208"/>
      <c r="F129" s="183"/>
      <c r="G129" s="100"/>
      <c r="H129" s="100"/>
      <c r="I129" s="100"/>
      <c r="J129" s="94"/>
      <c r="K129" s="95"/>
      <c r="L129" s="96"/>
      <c r="M129" s="231"/>
      <c r="N129" s="179"/>
      <c r="O129" s="280"/>
      <c r="P129" s="280"/>
      <c r="Q129" s="280"/>
      <c r="R129" s="94"/>
      <c r="S129" s="95"/>
      <c r="T129" s="214"/>
      <c r="U129" s="179"/>
      <c r="V129" s="100"/>
      <c r="W129" s="100"/>
      <c r="X129" s="100"/>
      <c r="Y129" s="100"/>
      <c r="Z129" s="97"/>
      <c r="AA129" s="219"/>
      <c r="AB129" s="249"/>
      <c r="AC129" s="92"/>
      <c r="AD129" s="93"/>
      <c r="AE129" s="93"/>
      <c r="AF129" s="93"/>
      <c r="AG129" s="94"/>
      <c r="AH129" s="95"/>
      <c r="AI129" s="251"/>
      <c r="AJ129" s="92"/>
      <c r="AK129" s="93"/>
      <c r="AL129" s="93"/>
      <c r="AM129" s="93"/>
      <c r="AN129" s="100"/>
      <c r="AO129" s="97"/>
      <c r="AP129" s="261"/>
      <c r="AQ129" s="176"/>
      <c r="AR129" s="176"/>
      <c r="AS129" s="176"/>
      <c r="AT129" s="144"/>
      <c r="AU129" s="78"/>
    </row>
    <row r="130" spans="1:54" ht="15.75" thickBot="1" x14ac:dyDescent="0.3">
      <c r="A130" s="53" t="s">
        <v>23</v>
      </c>
      <c r="B130" s="54"/>
      <c r="C130" s="54"/>
      <c r="D130" s="54"/>
      <c r="E130" s="55"/>
      <c r="F130" s="186"/>
      <c r="G130" s="93"/>
      <c r="H130" s="93"/>
      <c r="I130" s="93"/>
      <c r="J130" s="94"/>
      <c r="K130" s="95"/>
      <c r="L130" s="96"/>
      <c r="M130" s="231"/>
      <c r="N130" s="179"/>
      <c r="O130" s="280"/>
      <c r="P130" s="280"/>
      <c r="Q130" s="280"/>
      <c r="R130" s="94"/>
      <c r="S130" s="95"/>
      <c r="T130" s="214"/>
      <c r="U130" s="104"/>
      <c r="V130" s="93"/>
      <c r="W130" s="93"/>
      <c r="X130" s="93"/>
      <c r="Y130" s="93"/>
      <c r="Z130" s="97"/>
      <c r="AA130" s="219"/>
      <c r="AB130" s="249"/>
      <c r="AC130" s="92"/>
      <c r="AD130" s="93"/>
      <c r="AE130" s="93"/>
      <c r="AF130" s="93"/>
      <c r="AG130" s="94"/>
      <c r="AH130" s="95"/>
      <c r="AI130" s="251"/>
      <c r="AJ130" s="92"/>
      <c r="AK130" s="93"/>
      <c r="AL130" s="93"/>
      <c r="AM130" s="93"/>
      <c r="AN130" s="93"/>
      <c r="AO130" s="97"/>
      <c r="AP130" s="262"/>
      <c r="AQ130" s="67"/>
      <c r="AR130" s="67"/>
      <c r="AS130" s="67"/>
      <c r="AT130" s="144"/>
      <c r="AU130" s="78"/>
    </row>
    <row r="131" spans="1:54" ht="15.75" thickBot="1" x14ac:dyDescent="0.3">
      <c r="A131" s="61" t="s">
        <v>48</v>
      </c>
      <c r="B131" s="116"/>
      <c r="C131" s="117"/>
      <c r="D131" s="117"/>
      <c r="E131" s="209"/>
      <c r="F131" s="179" t="s">
        <v>50</v>
      </c>
      <c r="G131" s="280"/>
      <c r="H131" s="280"/>
      <c r="I131" s="280"/>
      <c r="J131" s="120">
        <f>MAX(J123-J125)</f>
        <v>0</v>
      </c>
      <c r="K131" s="121"/>
      <c r="L131" s="96"/>
      <c r="M131" s="231"/>
      <c r="N131" s="179" t="s">
        <v>51</v>
      </c>
      <c r="O131" s="280"/>
      <c r="P131" s="280"/>
      <c r="Q131" s="280"/>
      <c r="R131" s="120">
        <f>J123+R123+R128</f>
        <v>600</v>
      </c>
      <c r="S131" s="121"/>
      <c r="T131" s="214"/>
      <c r="U131" s="179" t="s">
        <v>52</v>
      </c>
      <c r="V131" s="280"/>
      <c r="W131" s="280"/>
      <c r="X131" s="280"/>
      <c r="Y131" s="172">
        <f>Y124+Y126+Y128</f>
        <v>4360</v>
      </c>
      <c r="Z131" s="122"/>
      <c r="AA131" s="219"/>
      <c r="AB131" s="249"/>
      <c r="AC131" s="92" t="s">
        <v>51</v>
      </c>
      <c r="AD131" s="93"/>
      <c r="AE131" s="93"/>
      <c r="AF131" s="93"/>
      <c r="AG131" s="120">
        <f>J123+AG123+AG128</f>
        <v>600</v>
      </c>
      <c r="AH131" s="121"/>
      <c r="AI131" s="251"/>
      <c r="AJ131" s="92" t="s">
        <v>52</v>
      </c>
      <c r="AK131" s="93"/>
      <c r="AL131" s="93"/>
      <c r="AM131" s="93"/>
      <c r="AN131" s="172">
        <f>AN124+AN126+AN128</f>
        <v>2950</v>
      </c>
      <c r="AO131" s="122"/>
      <c r="AP131" s="262"/>
      <c r="AQ131" s="67"/>
      <c r="AR131" s="67"/>
      <c r="AS131" s="67"/>
      <c r="AT131" s="144"/>
      <c r="AU131" s="78"/>
    </row>
    <row r="132" spans="1:54" ht="16.5" thickTop="1" thickBot="1" x14ac:dyDescent="0.3">
      <c r="A132" s="89" t="s">
        <v>53</v>
      </c>
      <c r="B132" s="291"/>
      <c r="C132" s="124">
        <v>50</v>
      </c>
      <c r="D132" s="45"/>
      <c r="E132" s="157"/>
      <c r="F132" s="68" t="str">
        <f>" "</f>
        <v xml:space="preserve"> </v>
      </c>
      <c r="G132" s="69"/>
      <c r="H132" s="69"/>
      <c r="I132" s="69"/>
      <c r="J132" s="128"/>
      <c r="K132" s="129"/>
      <c r="L132" s="96"/>
      <c r="M132" s="227"/>
      <c r="N132" s="276" t="s">
        <v>54</v>
      </c>
      <c r="O132" s="279"/>
      <c r="P132" s="279"/>
      <c r="Q132" s="279"/>
      <c r="R132" s="128">
        <f>MAX(J123+R123+R127+R126-J125-R125,0)</f>
        <v>220</v>
      </c>
      <c r="S132" s="129"/>
      <c r="T132" s="214"/>
      <c r="U132" s="68" t="str">
        <f>" "</f>
        <v xml:space="preserve"> </v>
      </c>
      <c r="V132" s="69"/>
      <c r="W132" s="69"/>
      <c r="X132" s="69"/>
      <c r="Y132" s="69"/>
      <c r="Z132" s="130"/>
      <c r="AA132" s="219"/>
      <c r="AB132" s="249"/>
      <c r="AC132" s="92" t="s">
        <v>54</v>
      </c>
      <c r="AD132" s="93"/>
      <c r="AE132" s="93"/>
      <c r="AF132" s="93"/>
      <c r="AG132" s="128">
        <f>MAX(J123+AG123-J125-AG125,0)</f>
        <v>600</v>
      </c>
      <c r="AH132" s="129"/>
      <c r="AI132" s="251"/>
      <c r="AJ132" s="92" t="str">
        <f>" "</f>
        <v xml:space="preserve"> </v>
      </c>
      <c r="AK132" s="93"/>
      <c r="AL132" s="93"/>
      <c r="AM132" s="93"/>
      <c r="AN132" s="69"/>
      <c r="AO132" s="130"/>
      <c r="AP132" s="263"/>
      <c r="AQ132" s="176"/>
      <c r="AR132" s="176"/>
      <c r="AS132" s="176"/>
      <c r="AT132" s="144"/>
      <c r="AU132" s="78"/>
    </row>
    <row r="133" spans="1:54" ht="15.75" thickBot="1" x14ac:dyDescent="0.3">
      <c r="A133" s="27" t="s">
        <v>34</v>
      </c>
      <c r="B133" s="131"/>
      <c r="C133" s="31">
        <v>47</v>
      </c>
      <c r="D133" s="132"/>
      <c r="E133" s="207"/>
      <c r="F133" s="146"/>
      <c r="G133" s="146"/>
      <c r="H133" s="146"/>
      <c r="I133" s="146"/>
      <c r="J133" s="31"/>
      <c r="K133" s="171"/>
      <c r="L133" s="96"/>
      <c r="M133" s="227"/>
      <c r="N133" s="211"/>
      <c r="O133" s="211"/>
      <c r="P133" s="211"/>
      <c r="Q133" s="211"/>
      <c r="R133" s="228"/>
      <c r="S133" s="211"/>
      <c r="T133" s="211"/>
      <c r="U133" s="211"/>
      <c r="V133" s="211"/>
      <c r="W133" s="211"/>
      <c r="X133" s="211"/>
      <c r="Y133" s="211"/>
      <c r="Z133" s="211"/>
      <c r="AA133" s="212"/>
      <c r="AB133" s="249"/>
      <c r="AC133" s="251"/>
      <c r="AD133" s="251"/>
      <c r="AE133" s="251"/>
      <c r="AF133" s="251"/>
      <c r="AG133" s="251"/>
      <c r="AH133" s="251"/>
      <c r="AI133" s="251"/>
      <c r="AJ133" s="251"/>
      <c r="AK133" s="251"/>
      <c r="AL133" s="251"/>
      <c r="AM133" s="251"/>
      <c r="AN133" s="251"/>
      <c r="AO133" s="251"/>
      <c r="AP133" s="252"/>
      <c r="AW133" s="170"/>
      <c r="AX133" s="170"/>
      <c r="AY133" s="170"/>
      <c r="AZ133" s="170"/>
      <c r="BA133" s="31"/>
      <c r="BB133" s="78"/>
    </row>
    <row r="134" spans="1:54" ht="15.75" thickBot="1" x14ac:dyDescent="0.3">
      <c r="A134" s="167" t="s">
        <v>55</v>
      </c>
      <c r="B134" s="123"/>
      <c r="C134" s="124">
        <f>IF(C153=1,MIN(C135,C155)-C150,C135)</f>
        <v>80</v>
      </c>
      <c r="D134" s="45"/>
      <c r="E134" s="157"/>
      <c r="L134" s="55"/>
      <c r="M134" s="232"/>
      <c r="N134" s="243" t="s">
        <v>56</v>
      </c>
      <c r="O134" s="244"/>
      <c r="P134" s="244"/>
      <c r="Q134" s="244"/>
      <c r="R134" s="244"/>
      <c r="S134" s="245"/>
      <c r="T134" s="211"/>
      <c r="U134" s="226"/>
      <c r="V134" s="226"/>
      <c r="W134" s="211"/>
      <c r="X134" s="211"/>
      <c r="Y134" s="211"/>
      <c r="Z134" s="211"/>
      <c r="AA134" s="212"/>
      <c r="AB134" s="250"/>
      <c r="AC134" s="243" t="s">
        <v>57</v>
      </c>
      <c r="AD134" s="244"/>
      <c r="AE134" s="244"/>
      <c r="AF134" s="244"/>
      <c r="AG134" s="268"/>
      <c r="AH134" s="40"/>
      <c r="AI134" s="253"/>
      <c r="AJ134" s="254"/>
      <c r="AK134" s="254"/>
      <c r="AL134" s="251"/>
      <c r="AM134" s="251"/>
      <c r="AN134" s="251"/>
      <c r="AO134" s="251"/>
      <c r="AP134" s="252"/>
      <c r="AW134" s="146"/>
      <c r="AX134" s="146"/>
      <c r="AY134" s="146"/>
      <c r="AZ134" s="146"/>
      <c r="BA134" s="31"/>
      <c r="BB134" s="78"/>
    </row>
    <row r="135" spans="1:54" ht="15.75" thickBot="1" x14ac:dyDescent="0.3">
      <c r="A135" s="167" t="s">
        <v>58</v>
      </c>
      <c r="B135" s="123"/>
      <c r="C135" s="124">
        <v>100</v>
      </c>
      <c r="D135" s="45"/>
      <c r="E135" s="157"/>
      <c r="F135" s="9" t="s">
        <v>24</v>
      </c>
      <c r="G135" s="10"/>
      <c r="H135" s="10"/>
      <c r="I135" s="10"/>
      <c r="J135" s="9"/>
      <c r="K135" s="56"/>
      <c r="L135" s="174"/>
      <c r="M135" s="233"/>
      <c r="N135" s="9" t="s">
        <v>59</v>
      </c>
      <c r="O135" s="10"/>
      <c r="P135" s="10"/>
      <c r="Q135" s="10"/>
      <c r="R135" s="11"/>
      <c r="S135" s="11"/>
      <c r="T135" s="211"/>
      <c r="U135" s="57" t="s">
        <v>93</v>
      </c>
      <c r="V135" s="58"/>
      <c r="W135" s="58"/>
      <c r="X135" s="58"/>
      <c r="Y135" s="57"/>
      <c r="Z135" s="59"/>
      <c r="AA135" s="218"/>
      <c r="AB135" s="264"/>
      <c r="AC135" s="9" t="s">
        <v>60</v>
      </c>
      <c r="AD135" s="10"/>
      <c r="AE135" s="10"/>
      <c r="AF135" s="10"/>
      <c r="AG135" s="11"/>
      <c r="AH135" s="11"/>
      <c r="AI135" s="253"/>
      <c r="AJ135" s="57" t="s">
        <v>96</v>
      </c>
      <c r="AK135" s="58"/>
      <c r="AL135" s="58"/>
      <c r="AM135" s="58"/>
      <c r="AN135" s="57"/>
      <c r="AO135" s="59"/>
      <c r="AP135" s="252"/>
    </row>
    <row r="136" spans="1:54" ht="15.75" thickBot="1" x14ac:dyDescent="0.3">
      <c r="A136" s="27" t="s">
        <v>36</v>
      </c>
      <c r="B136" s="28"/>
      <c r="C136" s="31">
        <v>0</v>
      </c>
      <c r="D136" s="132"/>
      <c r="E136" s="207"/>
      <c r="F136" s="9" t="s">
        <v>29</v>
      </c>
      <c r="G136" s="10"/>
      <c r="H136" s="10"/>
      <c r="I136" s="9"/>
      <c r="J136" s="64" t="s">
        <v>30</v>
      </c>
      <c r="K136" s="65"/>
      <c r="L136" s="67"/>
      <c r="M136" s="227"/>
      <c r="N136" s="125" t="s">
        <v>29</v>
      </c>
      <c r="O136" s="126"/>
      <c r="P136" s="9"/>
      <c r="Q136" s="10"/>
      <c r="R136" s="65" t="s">
        <v>30</v>
      </c>
      <c r="S136" s="65"/>
      <c r="T136" s="211"/>
      <c r="U136" s="57" t="s">
        <v>29</v>
      </c>
      <c r="V136" s="58"/>
      <c r="W136" s="58"/>
      <c r="X136" s="57"/>
      <c r="Y136" s="58" t="s">
        <v>30</v>
      </c>
      <c r="Z136" s="66"/>
      <c r="AA136" s="218"/>
      <c r="AB136" s="264"/>
      <c r="AC136" s="125" t="s">
        <v>29</v>
      </c>
      <c r="AD136" s="126"/>
      <c r="AE136" s="9"/>
      <c r="AF136" s="10"/>
      <c r="AG136" s="65" t="s">
        <v>30</v>
      </c>
      <c r="AH136" s="65"/>
      <c r="AI136" s="253"/>
      <c r="AJ136" s="57" t="s">
        <v>29</v>
      </c>
      <c r="AK136" s="58"/>
      <c r="AL136" s="58"/>
      <c r="AM136" s="57"/>
      <c r="AN136" s="58" t="s">
        <v>30</v>
      </c>
      <c r="AO136" s="66"/>
      <c r="AP136" s="252"/>
    </row>
    <row r="137" spans="1:54" ht="15" x14ac:dyDescent="0.25">
      <c r="A137" s="133" t="s">
        <v>39</v>
      </c>
      <c r="B137" s="28"/>
      <c r="C137" s="31">
        <v>0</v>
      </c>
      <c r="D137" s="132"/>
      <c r="E137" s="207"/>
      <c r="F137" s="75" t="s">
        <v>31</v>
      </c>
      <c r="G137" s="76"/>
      <c r="H137" s="76"/>
      <c r="I137" s="76"/>
      <c r="J137" s="24">
        <f>C123*C124</f>
        <v>0</v>
      </c>
      <c r="K137" s="77"/>
      <c r="L137" s="96"/>
      <c r="M137" s="234"/>
      <c r="N137" s="134" t="s">
        <v>31</v>
      </c>
      <c r="O137" s="135"/>
      <c r="P137" s="135"/>
      <c r="Q137" s="135"/>
      <c r="R137" s="24">
        <f>J137</f>
        <v>0</v>
      </c>
      <c r="S137" s="136"/>
      <c r="T137" s="211"/>
      <c r="U137" s="79"/>
      <c r="V137" s="80"/>
      <c r="W137" s="80"/>
      <c r="X137" s="80"/>
      <c r="Y137" s="81"/>
      <c r="Z137" s="82"/>
      <c r="AA137" s="219"/>
      <c r="AB137" s="265"/>
      <c r="AC137" s="134" t="s">
        <v>31</v>
      </c>
      <c r="AD137" s="135"/>
      <c r="AE137" s="135"/>
      <c r="AF137" s="135"/>
      <c r="AG137" s="24">
        <f>J137</f>
        <v>0</v>
      </c>
      <c r="AH137" s="136"/>
      <c r="AI137" s="253"/>
      <c r="AJ137" s="92"/>
      <c r="AK137" s="93"/>
      <c r="AL137" s="93"/>
      <c r="AM137" s="93"/>
      <c r="AN137" s="81"/>
      <c r="AO137" s="82"/>
      <c r="AP137" s="252"/>
      <c r="AZ137" s="137"/>
    </row>
    <row r="138" spans="1:54" ht="15" x14ac:dyDescent="0.25">
      <c r="A138" s="168" t="s">
        <v>61</v>
      </c>
      <c r="B138" s="123"/>
      <c r="C138" s="124">
        <v>50</v>
      </c>
      <c r="D138" s="45"/>
      <c r="E138" s="157"/>
      <c r="F138" s="89" t="str">
        <f>" "</f>
        <v xml:space="preserve"> </v>
      </c>
      <c r="G138" s="90"/>
      <c r="H138" s="90"/>
      <c r="I138" s="90"/>
      <c r="J138" s="31"/>
      <c r="K138" s="91"/>
      <c r="L138" s="96"/>
      <c r="M138" s="227"/>
      <c r="N138" s="89"/>
      <c r="O138" s="90"/>
      <c r="P138" s="90"/>
      <c r="Q138" s="90"/>
      <c r="R138" s="31"/>
      <c r="S138" s="138"/>
      <c r="T138" s="211"/>
      <c r="U138" s="179" t="s">
        <v>52</v>
      </c>
      <c r="V138" s="280"/>
      <c r="W138" s="280"/>
      <c r="X138" s="280"/>
      <c r="Y138" s="94">
        <f>Y131</f>
        <v>4360</v>
      </c>
      <c r="Z138" s="95"/>
      <c r="AA138" s="219"/>
      <c r="AB138" s="265"/>
      <c r="AC138" s="89" t="str">
        <f>" "</f>
        <v xml:space="preserve"> </v>
      </c>
      <c r="AD138" s="90"/>
      <c r="AE138" s="90"/>
      <c r="AF138" s="90"/>
      <c r="AG138" s="31"/>
      <c r="AH138" s="138"/>
      <c r="AI138" s="253"/>
      <c r="AJ138" s="92" t="s">
        <v>52</v>
      </c>
      <c r="AK138" s="93"/>
      <c r="AL138" s="93"/>
      <c r="AM138" s="93"/>
      <c r="AN138" s="94">
        <f>AN131</f>
        <v>2950</v>
      </c>
      <c r="AO138" s="95"/>
      <c r="AP138" s="252"/>
    </row>
    <row r="139" spans="1:54" ht="15.75" thickBot="1" x14ac:dyDescent="0.3">
      <c r="A139" s="169" t="s">
        <v>62</v>
      </c>
      <c r="B139" s="139"/>
      <c r="C139" s="140">
        <v>100</v>
      </c>
      <c r="D139" s="141"/>
      <c r="E139" s="157"/>
      <c r="F139" s="98" t="str">
        <f>"DA Incremental Cost @ "&amp;C123&amp;" MW"</f>
        <v>DA Incremental Cost @ 0 MW</v>
      </c>
      <c r="G139" s="99"/>
      <c r="H139" s="99"/>
      <c r="I139" s="99"/>
      <c r="J139" s="31">
        <f>F118</f>
        <v>0</v>
      </c>
      <c r="K139" s="91"/>
      <c r="L139" s="96"/>
      <c r="M139" s="234"/>
      <c r="N139" s="98" t="s">
        <v>49</v>
      </c>
      <c r="O139" s="99"/>
      <c r="P139" s="99"/>
      <c r="Q139" s="99"/>
      <c r="R139" s="31">
        <f>J145</f>
        <v>0</v>
      </c>
      <c r="S139" s="138"/>
      <c r="T139" s="211"/>
      <c r="U139" s="101"/>
      <c r="V139" s="100"/>
      <c r="W139" s="100"/>
      <c r="X139" s="100"/>
      <c r="Y139" s="94"/>
      <c r="Z139" s="95"/>
      <c r="AA139" s="219"/>
      <c r="AB139" s="265"/>
      <c r="AC139" s="98" t="s">
        <v>49</v>
      </c>
      <c r="AD139" s="99"/>
      <c r="AE139" s="99"/>
      <c r="AF139" s="99"/>
      <c r="AG139" s="31">
        <f>J145</f>
        <v>0</v>
      </c>
      <c r="AH139" s="138"/>
      <c r="AI139" s="253"/>
      <c r="AJ139" s="92"/>
      <c r="AK139" s="93"/>
      <c r="AL139" s="93"/>
      <c r="AM139" s="93"/>
      <c r="AN139" s="94"/>
      <c r="AO139" s="95"/>
      <c r="AP139" s="252"/>
    </row>
    <row r="140" spans="1:54" ht="15.75" thickBot="1" x14ac:dyDescent="0.3">
      <c r="E140" s="55"/>
      <c r="F140" s="98" t="s">
        <v>40</v>
      </c>
      <c r="G140" s="99"/>
      <c r="H140" s="99"/>
      <c r="I140" s="99"/>
      <c r="J140" s="31">
        <f>C126</f>
        <v>0</v>
      </c>
      <c r="K140" s="91"/>
      <c r="L140" s="96"/>
      <c r="M140" s="230"/>
      <c r="N140" s="142" t="s">
        <v>63</v>
      </c>
      <c r="O140" s="143"/>
      <c r="P140" s="143"/>
      <c r="Q140" s="143"/>
      <c r="R140" s="31">
        <f>J125</f>
        <v>0</v>
      </c>
      <c r="S140" s="138"/>
      <c r="T140" s="211"/>
      <c r="U140" s="179" t="str">
        <f>"RT Incremental Cost @ "&amp;C134&amp;" MW"</f>
        <v>RT Incremental Cost @ 80 MW</v>
      </c>
      <c r="V140" s="280"/>
      <c r="W140" s="280"/>
      <c r="X140" s="280"/>
      <c r="Y140" s="94">
        <f>R144</f>
        <v>1690</v>
      </c>
      <c r="Z140" s="95"/>
      <c r="AA140" s="219"/>
      <c r="AB140" s="265"/>
      <c r="AC140" s="142" t="s">
        <v>63</v>
      </c>
      <c r="AD140" s="143"/>
      <c r="AE140" s="143"/>
      <c r="AF140" s="143"/>
      <c r="AG140" s="31">
        <f>J125</f>
        <v>0</v>
      </c>
      <c r="AH140" s="138"/>
      <c r="AI140" s="253"/>
      <c r="AJ140" s="92" t="str">
        <f>"RT Incremental Cost @ "&amp;C132&amp;" MW"</f>
        <v>RT Incremental Cost @ 50 MW</v>
      </c>
      <c r="AK140" s="93"/>
      <c r="AL140" s="93"/>
      <c r="AM140" s="93"/>
      <c r="AN140" s="94">
        <f>AG144</f>
        <v>1000</v>
      </c>
      <c r="AO140" s="95"/>
      <c r="AP140" s="252"/>
    </row>
    <row r="141" spans="1:54" ht="29.25" x14ac:dyDescent="0.25">
      <c r="A141" s="26" t="s">
        <v>64</v>
      </c>
      <c r="B141" s="21"/>
      <c r="C141" s="21"/>
      <c r="D141" s="189"/>
      <c r="E141" s="157"/>
      <c r="F141" s="98" t="s">
        <v>43</v>
      </c>
      <c r="G141" s="99"/>
      <c r="H141" s="99"/>
      <c r="I141" s="99"/>
      <c r="J141" s="31">
        <f>C125</f>
        <v>0</v>
      </c>
      <c r="K141" s="91"/>
      <c r="L141" s="96"/>
      <c r="M141" s="235"/>
      <c r="N141" s="98" t="s">
        <v>65</v>
      </c>
      <c r="O141" s="99"/>
      <c r="P141" s="99"/>
      <c r="Q141" s="99"/>
      <c r="R141" s="31">
        <f>(C134-C123)*C133</f>
        <v>3760</v>
      </c>
      <c r="S141" s="138"/>
      <c r="T141" s="225"/>
      <c r="U141" s="179" t="s">
        <v>67</v>
      </c>
      <c r="V141" s="280"/>
      <c r="W141" s="280"/>
      <c r="X141" s="280"/>
      <c r="Y141" s="94">
        <f>C137</f>
        <v>0</v>
      </c>
      <c r="Z141" s="95"/>
      <c r="AA141" s="219"/>
      <c r="AB141" s="265"/>
      <c r="AC141" s="98" t="s">
        <v>66</v>
      </c>
      <c r="AD141" s="99"/>
      <c r="AE141" s="99"/>
      <c r="AF141" s="99"/>
      <c r="AG141" s="31">
        <f>(C132-C123)*C133</f>
        <v>2350</v>
      </c>
      <c r="AH141" s="138"/>
      <c r="AI141" s="255"/>
      <c r="AJ141" s="92" t="s">
        <v>67</v>
      </c>
      <c r="AK141" s="93"/>
      <c r="AL141" s="93"/>
      <c r="AM141" s="93"/>
      <c r="AN141" s="94">
        <f>AG145</f>
        <v>0</v>
      </c>
      <c r="AO141" s="95"/>
      <c r="AP141" s="252"/>
    </row>
    <row r="142" spans="1:54" ht="15" x14ac:dyDescent="0.25">
      <c r="A142" s="32" t="s">
        <v>68</v>
      </c>
      <c r="B142" s="28"/>
      <c r="C142" s="123">
        <v>0</v>
      </c>
      <c r="D142" s="45"/>
      <c r="E142" s="157"/>
      <c r="F142" s="89" t="str">
        <f>" "</f>
        <v xml:space="preserve"> </v>
      </c>
      <c r="G142" s="90"/>
      <c r="H142" s="90"/>
      <c r="I142" s="90"/>
      <c r="J142" s="31"/>
      <c r="K142" s="91"/>
      <c r="L142" s="96"/>
      <c r="M142" s="236"/>
      <c r="N142" s="275" t="s">
        <v>69</v>
      </c>
      <c r="O142" s="203"/>
      <c r="P142" s="203"/>
      <c r="Q142" s="203"/>
      <c r="R142" s="31">
        <f>R125</f>
        <v>380</v>
      </c>
      <c r="S142" s="138"/>
      <c r="T142" s="213"/>
      <c r="U142" s="179" t="s">
        <v>70</v>
      </c>
      <c r="V142" s="280"/>
      <c r="W142" s="280"/>
      <c r="X142" s="280"/>
      <c r="Y142" s="147">
        <f>C136</f>
        <v>0</v>
      </c>
      <c r="Z142" s="148"/>
      <c r="AA142" s="220"/>
      <c r="AB142" s="265"/>
      <c r="AC142" s="271" t="s">
        <v>69</v>
      </c>
      <c r="AD142" s="203"/>
      <c r="AE142" s="203"/>
      <c r="AF142" s="203"/>
      <c r="AG142" s="31">
        <f>AG125</f>
        <v>0</v>
      </c>
      <c r="AH142" s="138"/>
      <c r="AI142" s="253"/>
      <c r="AJ142" s="92" t="s">
        <v>70</v>
      </c>
      <c r="AK142" s="93"/>
      <c r="AL142" s="93"/>
      <c r="AM142" s="93"/>
      <c r="AN142" s="147">
        <f>AG146</f>
        <v>0</v>
      </c>
      <c r="AO142" s="148"/>
      <c r="AP142" s="252"/>
    </row>
    <row r="143" spans="1:54" ht="15" x14ac:dyDescent="0.25">
      <c r="A143" s="190" t="s">
        <v>71</v>
      </c>
      <c r="B143" s="191"/>
      <c r="C143" s="31">
        <v>0</v>
      </c>
      <c r="D143" s="45"/>
      <c r="E143" s="157"/>
      <c r="F143" s="98" t="s">
        <v>47</v>
      </c>
      <c r="G143" s="99"/>
      <c r="H143" s="99"/>
      <c r="I143" s="99"/>
      <c r="J143" s="114">
        <f>J137-J139-J140-J141</f>
        <v>0</v>
      </c>
      <c r="K143" s="115"/>
      <c r="L143" s="96"/>
      <c r="M143" s="237"/>
      <c r="N143" s="89"/>
      <c r="O143" s="90"/>
      <c r="P143" s="90"/>
      <c r="Q143" s="90"/>
      <c r="R143" s="31"/>
      <c r="S143" s="138"/>
      <c r="T143" s="213"/>
      <c r="U143" s="101"/>
      <c r="V143" s="100"/>
      <c r="W143" s="100"/>
      <c r="X143" s="100"/>
      <c r="Y143" s="94"/>
      <c r="Z143" s="95"/>
      <c r="AA143" s="219"/>
      <c r="AB143" s="265"/>
      <c r="AC143" s="98"/>
      <c r="AD143" s="99"/>
      <c r="AE143" s="99"/>
      <c r="AF143" s="99"/>
      <c r="AG143" s="31"/>
      <c r="AH143" s="138"/>
      <c r="AI143" s="255"/>
      <c r="AJ143" s="92"/>
      <c r="AK143" s="93"/>
      <c r="AL143" s="93"/>
      <c r="AM143" s="93"/>
      <c r="AN143" s="94"/>
      <c r="AO143" s="95"/>
      <c r="AP143" s="252"/>
    </row>
    <row r="144" spans="1:54" ht="15.75" thickBot="1" x14ac:dyDescent="0.3">
      <c r="A144" s="192" t="s">
        <v>72</v>
      </c>
      <c r="B144" s="28"/>
      <c r="C144" s="123">
        <v>0</v>
      </c>
      <c r="D144" s="45"/>
      <c r="E144" s="157"/>
      <c r="F144" s="89" t="str">
        <f>" "</f>
        <v xml:space="preserve"> </v>
      </c>
      <c r="G144" s="90"/>
      <c r="H144" s="90"/>
      <c r="I144" s="90"/>
      <c r="J144" s="31"/>
      <c r="K144" s="91"/>
      <c r="L144" s="96"/>
      <c r="M144" s="238"/>
      <c r="N144" s="98" t="str">
        <f>"RT Incremental Cost @ "&amp;C134&amp;" MW"</f>
        <v>RT Incremental Cost @ 80 MW</v>
      </c>
      <c r="O144" s="99"/>
      <c r="P144" s="99"/>
      <c r="Q144" s="99"/>
      <c r="R144" s="31">
        <f>T118</f>
        <v>1690</v>
      </c>
      <c r="S144" s="138"/>
      <c r="T144" s="211"/>
      <c r="U144" s="179" t="s">
        <v>73</v>
      </c>
      <c r="V144" s="280"/>
      <c r="W144" s="280"/>
      <c r="X144" s="280"/>
      <c r="Y144" s="120">
        <f>Y138-Y140-Y141-Y142</f>
        <v>2670</v>
      </c>
      <c r="Z144" s="121"/>
      <c r="AA144" s="219"/>
      <c r="AB144" s="265"/>
      <c r="AC144" s="98" t="str">
        <f>"RT Incremental Cost @ "&amp;C132&amp;" MW"</f>
        <v>RT Incremental Cost @ 50 MW</v>
      </c>
      <c r="AD144" s="99"/>
      <c r="AE144" s="99"/>
      <c r="AF144" s="99"/>
      <c r="AG144" s="31">
        <f>M118</f>
        <v>1000</v>
      </c>
      <c r="AH144" s="138"/>
      <c r="AI144" s="255"/>
      <c r="AJ144" s="92" t="s">
        <v>73</v>
      </c>
      <c r="AK144" s="93"/>
      <c r="AL144" s="93"/>
      <c r="AM144" s="93"/>
      <c r="AN144" s="120">
        <f>AN138-AN140-AN141-AN142</f>
        <v>1950</v>
      </c>
      <c r="AO144" s="121"/>
      <c r="AP144" s="252"/>
      <c r="AQ144" s="137"/>
    </row>
    <row r="145" spans="1:46" ht="16.5" thickTop="1" thickBot="1" x14ac:dyDescent="0.3">
      <c r="A145" s="27" t="s">
        <v>74</v>
      </c>
      <c r="B145" s="193"/>
      <c r="C145" s="123">
        <v>100</v>
      </c>
      <c r="D145" s="45"/>
      <c r="E145" s="157"/>
      <c r="F145" s="98" t="s">
        <v>49</v>
      </c>
      <c r="G145" s="99"/>
      <c r="H145" s="99"/>
      <c r="I145" s="99"/>
      <c r="J145" s="118">
        <f>MAX(J143*-1,0)</f>
        <v>0</v>
      </c>
      <c r="K145" s="119"/>
      <c r="L145" s="96"/>
      <c r="M145" s="238"/>
      <c r="N145" s="98" t="s">
        <v>67</v>
      </c>
      <c r="O145" s="99"/>
      <c r="P145" s="99"/>
      <c r="Q145" s="99"/>
      <c r="R145" s="31">
        <f>C137</f>
        <v>0</v>
      </c>
      <c r="S145" s="138"/>
      <c r="T145" s="211"/>
      <c r="U145" s="92"/>
      <c r="V145" s="100"/>
      <c r="W145" s="100"/>
      <c r="X145" s="100"/>
      <c r="Y145" s="94"/>
      <c r="Z145" s="95"/>
      <c r="AA145" s="219"/>
      <c r="AB145" s="265"/>
      <c r="AC145" s="98" t="s">
        <v>67</v>
      </c>
      <c r="AD145" s="99"/>
      <c r="AE145" s="99"/>
      <c r="AF145" s="99"/>
      <c r="AG145" s="31">
        <f>C137</f>
        <v>0</v>
      </c>
      <c r="AH145" s="138"/>
      <c r="AI145" s="253"/>
      <c r="AJ145" s="92"/>
      <c r="AK145" s="93"/>
      <c r="AL145" s="93"/>
      <c r="AM145" s="93"/>
      <c r="AN145" s="94"/>
      <c r="AO145" s="95"/>
      <c r="AP145" s="252"/>
    </row>
    <row r="146" spans="1:46" ht="16.5" thickTop="1" thickBot="1" x14ac:dyDescent="0.3">
      <c r="A146" s="33" t="s">
        <v>75</v>
      </c>
      <c r="B146" s="194"/>
      <c r="C146" s="139">
        <v>100</v>
      </c>
      <c r="D146" s="141"/>
      <c r="E146" s="157"/>
      <c r="F146" s="125" t="str">
        <f>" "</f>
        <v xml:space="preserve"> </v>
      </c>
      <c r="G146" s="126"/>
      <c r="H146" s="126"/>
      <c r="I146" s="126"/>
      <c r="J146" s="37"/>
      <c r="K146" s="127"/>
      <c r="L146" s="96"/>
      <c r="M146" s="238"/>
      <c r="N146" s="98" t="s">
        <v>70</v>
      </c>
      <c r="O146" s="99"/>
      <c r="P146" s="99"/>
      <c r="Q146" s="99"/>
      <c r="R146" s="31">
        <f>C136</f>
        <v>0</v>
      </c>
      <c r="S146" s="138"/>
      <c r="T146" s="211"/>
      <c r="U146" s="68" t="str">
        <f>" "</f>
        <v xml:space="preserve"> </v>
      </c>
      <c r="V146" s="69"/>
      <c r="W146" s="69"/>
      <c r="X146" s="69"/>
      <c r="Y146" s="128"/>
      <c r="Z146" s="178"/>
      <c r="AA146" s="219"/>
      <c r="AB146" s="265"/>
      <c r="AC146" s="98" t="s">
        <v>70</v>
      </c>
      <c r="AD146" s="99"/>
      <c r="AE146" s="99"/>
      <c r="AF146" s="99"/>
      <c r="AG146" s="31">
        <f>C136</f>
        <v>0</v>
      </c>
      <c r="AH146" s="138"/>
      <c r="AI146" s="251"/>
      <c r="AJ146" s="188" t="str">
        <f>" "</f>
        <v xml:space="preserve"> </v>
      </c>
      <c r="AK146" s="69"/>
      <c r="AL146" s="69"/>
      <c r="AM146" s="69"/>
      <c r="AN146" s="128"/>
      <c r="AO146" s="129"/>
      <c r="AP146" s="252"/>
    </row>
    <row r="147" spans="1:46" ht="15" x14ac:dyDescent="0.25">
      <c r="A147" s="149"/>
      <c r="B147" s="137"/>
      <c r="C147" s="54"/>
      <c r="D147" s="54"/>
      <c r="E147" s="55"/>
      <c r="L147" s="55"/>
      <c r="M147" s="239"/>
      <c r="N147" s="281" t="s">
        <v>98</v>
      </c>
      <c r="O147" s="143"/>
      <c r="P147" s="143"/>
      <c r="Q147" s="143"/>
      <c r="R147" s="273">
        <v>0</v>
      </c>
      <c r="S147" s="274"/>
      <c r="T147" s="211"/>
      <c r="U147" s="211"/>
      <c r="V147" s="211"/>
      <c r="W147" s="211"/>
      <c r="X147" s="211"/>
      <c r="Y147" s="211"/>
      <c r="Z147" s="211"/>
      <c r="AA147" s="212"/>
      <c r="AB147" s="266"/>
      <c r="AC147" s="142" t="s">
        <v>98</v>
      </c>
      <c r="AD147" s="143"/>
      <c r="AE147" s="143"/>
      <c r="AF147" s="143"/>
      <c r="AG147" s="273">
        <f>AG126*-1</f>
        <v>0</v>
      </c>
      <c r="AH147" s="274"/>
      <c r="AI147" s="251"/>
      <c r="AJ147" s="251"/>
      <c r="AK147" s="251"/>
      <c r="AL147" s="251"/>
      <c r="AM147" s="251"/>
      <c r="AN147" s="251"/>
      <c r="AO147" s="251"/>
      <c r="AP147" s="252"/>
    </row>
    <row r="148" spans="1:46" ht="15.75" thickBot="1" x14ac:dyDescent="0.3">
      <c r="A148" s="201"/>
      <c r="B148" s="202"/>
      <c r="C148" s="201"/>
      <c r="D148" s="201"/>
      <c r="E148" s="210"/>
      <c r="L148" s="55"/>
      <c r="M148" s="238"/>
      <c r="N148" s="142" t="s">
        <v>97</v>
      </c>
      <c r="O148" s="203"/>
      <c r="P148" s="203"/>
      <c r="Q148" s="203"/>
      <c r="R148" s="31">
        <f>R127*-1</f>
        <v>0</v>
      </c>
      <c r="S148" s="138"/>
      <c r="T148" s="211"/>
      <c r="U148" s="211"/>
      <c r="V148" s="211"/>
      <c r="W148" s="211"/>
      <c r="X148" s="211"/>
      <c r="Y148" s="211"/>
      <c r="Z148" s="211"/>
      <c r="AA148" s="212"/>
      <c r="AB148" s="265"/>
      <c r="AC148" s="142" t="s">
        <v>97</v>
      </c>
      <c r="AD148" s="203"/>
      <c r="AE148" s="203"/>
      <c r="AF148" s="203"/>
      <c r="AG148" s="31">
        <f>AG127*-1</f>
        <v>0</v>
      </c>
      <c r="AH148" s="138"/>
      <c r="AI148" s="253"/>
      <c r="AJ148" s="251"/>
      <c r="AK148" s="251"/>
      <c r="AL148" s="251"/>
      <c r="AM148" s="251"/>
      <c r="AN148" s="251"/>
      <c r="AO148" s="251"/>
      <c r="AP148" s="252"/>
    </row>
    <row r="149" spans="1:46" ht="15" x14ac:dyDescent="0.25">
      <c r="A149" s="20"/>
      <c r="B149" s="195"/>
      <c r="C149" s="135"/>
      <c r="D149" s="42"/>
      <c r="E149" s="157"/>
      <c r="L149" s="55"/>
      <c r="M149" s="238"/>
      <c r="N149" s="142" t="s">
        <v>76</v>
      </c>
      <c r="O149" s="143"/>
      <c r="P149" s="143"/>
      <c r="Q149" s="143"/>
      <c r="R149" s="31">
        <f>R132</f>
        <v>220</v>
      </c>
      <c r="S149" s="138"/>
      <c r="T149" s="213"/>
      <c r="U149" s="211"/>
      <c r="V149" s="211"/>
      <c r="W149" s="211"/>
      <c r="X149" s="211"/>
      <c r="Y149" s="211"/>
      <c r="Z149" s="211"/>
      <c r="AA149" s="212"/>
      <c r="AB149" s="265"/>
      <c r="AC149" s="142" t="s">
        <v>76</v>
      </c>
      <c r="AD149" s="143"/>
      <c r="AE149" s="143"/>
      <c r="AF149" s="143"/>
      <c r="AG149" s="31">
        <f>AG132</f>
        <v>600</v>
      </c>
      <c r="AH149" s="138"/>
      <c r="AI149" s="253"/>
      <c r="AJ149" s="251"/>
      <c r="AK149" s="251"/>
      <c r="AL149" s="251"/>
      <c r="AM149" s="251"/>
      <c r="AN149" s="251"/>
      <c r="AO149" s="251"/>
      <c r="AP149" s="252"/>
    </row>
    <row r="150" spans="1:46" ht="15" x14ac:dyDescent="0.25">
      <c r="A150" s="27" t="s">
        <v>78</v>
      </c>
      <c r="B150" s="193"/>
      <c r="C150" s="123">
        <v>20</v>
      </c>
      <c r="D150" s="45"/>
      <c r="E150" s="157"/>
      <c r="L150" s="55"/>
      <c r="M150" s="227"/>
      <c r="N150" s="151" t="s">
        <v>77</v>
      </c>
      <c r="O150" s="99"/>
      <c r="P150" s="99"/>
      <c r="Q150" s="99"/>
      <c r="R150" s="114">
        <f>R137+R140+R141+R142+R143-R144-R145-R146+R149+R147+R148</f>
        <v>2670</v>
      </c>
      <c r="S150" s="152"/>
      <c r="T150" s="213"/>
      <c r="U150" s="211"/>
      <c r="V150" s="211"/>
      <c r="W150" s="213"/>
      <c r="X150" s="211"/>
      <c r="Y150" s="211"/>
      <c r="Z150" s="211"/>
      <c r="AA150" s="212"/>
      <c r="AB150" s="265"/>
      <c r="AC150" s="151" t="s">
        <v>77</v>
      </c>
      <c r="AD150" s="150"/>
      <c r="AE150" s="150"/>
      <c r="AF150" s="150"/>
      <c r="AG150" s="114">
        <f>AG137+AG141+AG149+AG140+AG142+AG147-AG144-AG145-AG146+AG148</f>
        <v>1950</v>
      </c>
      <c r="AH150" s="152"/>
      <c r="AI150" s="253"/>
      <c r="AJ150" s="251"/>
      <c r="AK150" s="251"/>
      <c r="AL150" s="251"/>
      <c r="AM150" s="251"/>
      <c r="AN150" s="251"/>
      <c r="AO150" s="251"/>
      <c r="AP150" s="252"/>
    </row>
    <row r="151" spans="1:46" ht="15" x14ac:dyDescent="0.25">
      <c r="A151" s="27" t="s">
        <v>80</v>
      </c>
      <c r="B151" s="193"/>
      <c r="C151" s="123">
        <f>IF(C150&gt;0,MIN(C155-C132,C150),0)</f>
        <v>20</v>
      </c>
      <c r="D151" s="45"/>
      <c r="E151" s="157"/>
      <c r="L151" s="55"/>
      <c r="M151" s="227"/>
      <c r="N151" s="32"/>
      <c r="O151" s="28"/>
      <c r="P151" s="28"/>
      <c r="Q151" s="28"/>
      <c r="R151" s="28"/>
      <c r="S151" s="272"/>
      <c r="T151" s="211"/>
      <c r="U151" s="211"/>
      <c r="V151" s="211"/>
      <c r="W151" s="211"/>
      <c r="X151" s="211"/>
      <c r="Y151" s="211"/>
      <c r="Z151" s="211"/>
      <c r="AA151" s="212"/>
      <c r="AB151" s="265"/>
      <c r="AC151" s="89" t="str">
        <f>" "</f>
        <v xml:space="preserve"> </v>
      </c>
      <c r="AD151" s="90"/>
      <c r="AE151" s="90"/>
      <c r="AF151" s="90"/>
      <c r="AG151" s="31"/>
      <c r="AH151" s="138"/>
      <c r="AI151" s="253"/>
      <c r="AJ151" s="251"/>
      <c r="AK151" s="251"/>
      <c r="AL151" s="251"/>
      <c r="AM151" s="251"/>
      <c r="AN151" s="251"/>
      <c r="AO151" s="251"/>
      <c r="AP151" s="252"/>
    </row>
    <row r="152" spans="1:46" ht="15.75" thickBot="1" x14ac:dyDescent="0.3">
      <c r="A152" s="27" t="s">
        <v>81</v>
      </c>
      <c r="B152" s="193"/>
      <c r="C152" s="196">
        <v>30</v>
      </c>
      <c r="D152" s="45"/>
      <c r="E152" s="157"/>
      <c r="L152" s="55"/>
      <c r="M152" s="227"/>
      <c r="N152" s="98" t="s">
        <v>79</v>
      </c>
      <c r="O152" s="99"/>
      <c r="P152" s="99"/>
      <c r="Q152" s="99"/>
      <c r="R152" s="118">
        <f>MAX(MAX(R150*-1,0)-R139,0)</f>
        <v>0</v>
      </c>
      <c r="S152" s="153"/>
      <c r="T152" s="211"/>
      <c r="U152" s="211"/>
      <c r="V152" s="211"/>
      <c r="W152" s="211"/>
      <c r="X152" s="211"/>
      <c r="Y152" s="211"/>
      <c r="Z152" s="211"/>
      <c r="AA152" s="212"/>
      <c r="AB152" s="265"/>
      <c r="AC152" s="151" t="s">
        <v>79</v>
      </c>
      <c r="AD152" s="150"/>
      <c r="AE152" s="150"/>
      <c r="AF152" s="150"/>
      <c r="AG152" s="118">
        <f>MAX(MAX(AG150*-1,0)-AG139,0)</f>
        <v>0</v>
      </c>
      <c r="AH152" s="153"/>
      <c r="AI152" s="253"/>
      <c r="AJ152" s="251"/>
      <c r="AK152" s="251"/>
      <c r="AL152" s="251"/>
      <c r="AM152" s="251"/>
      <c r="AN152" s="251"/>
      <c r="AO152" s="251"/>
      <c r="AP152" s="252"/>
    </row>
    <row r="153" spans="1:46" ht="16.5" thickTop="1" thickBot="1" x14ac:dyDescent="0.3">
      <c r="A153" s="197" t="s">
        <v>82</v>
      </c>
      <c r="B153" s="198"/>
      <c r="C153" s="199">
        <v>1</v>
      </c>
      <c r="D153" s="200"/>
      <c r="E153" s="96"/>
      <c r="L153" s="55"/>
      <c r="M153" s="234"/>
      <c r="N153" s="125" t="str">
        <f>" "</f>
        <v xml:space="preserve"> </v>
      </c>
      <c r="O153" s="126"/>
      <c r="P153" s="126"/>
      <c r="Q153" s="126"/>
      <c r="R153" s="37"/>
      <c r="S153" s="156"/>
      <c r="T153" s="214"/>
      <c r="U153" s="211"/>
      <c r="V153" s="211"/>
      <c r="W153" s="211"/>
      <c r="X153" s="211"/>
      <c r="Y153" s="211"/>
      <c r="Z153" s="211"/>
      <c r="AA153" s="212"/>
      <c r="AB153" s="250"/>
      <c r="AC153" s="125" t="str">
        <f>" "</f>
        <v xml:space="preserve"> </v>
      </c>
      <c r="AD153" s="126"/>
      <c r="AE153" s="126"/>
      <c r="AF153" s="126"/>
      <c r="AG153" s="37"/>
      <c r="AH153" s="155"/>
      <c r="AI153" s="253"/>
      <c r="AJ153" s="251"/>
      <c r="AK153" s="251"/>
      <c r="AL153" s="251"/>
      <c r="AM153" s="251"/>
      <c r="AN153" s="251"/>
      <c r="AO153" s="251"/>
      <c r="AP153" s="252"/>
    </row>
    <row r="154" spans="1:46" ht="15.75" thickBot="1" x14ac:dyDescent="0.3">
      <c r="A154" s="197" t="s">
        <v>83</v>
      </c>
      <c r="B154" s="198"/>
      <c r="C154" s="199">
        <v>0</v>
      </c>
      <c r="D154" s="200"/>
      <c r="E154" s="96"/>
      <c r="L154" s="55"/>
      <c r="M154" s="240"/>
      <c r="N154" s="241"/>
      <c r="O154" s="241"/>
      <c r="P154" s="215"/>
      <c r="Q154" s="215"/>
      <c r="R154" s="242"/>
      <c r="S154" s="241"/>
      <c r="T154" s="215"/>
      <c r="U154" s="215"/>
      <c r="V154" s="215"/>
      <c r="W154" s="215"/>
      <c r="X154" s="215"/>
      <c r="Y154" s="215"/>
      <c r="Z154" s="215"/>
      <c r="AA154" s="216"/>
      <c r="AB154" s="267"/>
      <c r="AC154" s="256"/>
      <c r="AD154" s="256"/>
      <c r="AE154" s="256"/>
      <c r="AF154" s="256"/>
      <c r="AG154" s="256"/>
      <c r="AH154" s="256"/>
      <c r="AI154" s="256"/>
      <c r="AJ154" s="257"/>
      <c r="AK154" s="257"/>
      <c r="AL154" s="257"/>
      <c r="AM154" s="257"/>
      <c r="AN154" s="257"/>
      <c r="AO154" s="257"/>
      <c r="AP154" s="258"/>
    </row>
    <row r="155" spans="1:46" ht="15" x14ac:dyDescent="0.25">
      <c r="A155" s="27" t="s">
        <v>84</v>
      </c>
      <c r="B155" s="28"/>
      <c r="C155" s="124">
        <v>100</v>
      </c>
      <c r="D155" s="45"/>
      <c r="E155" s="157"/>
      <c r="L155" s="55"/>
      <c r="M155" s="54"/>
      <c r="AB155" s="55"/>
      <c r="AC155" s="55"/>
      <c r="AD155" s="55"/>
      <c r="AE155" s="55"/>
      <c r="AF155" s="55"/>
      <c r="AG155" s="55"/>
      <c r="AH155" s="55"/>
      <c r="AI155" s="55"/>
    </row>
    <row r="156" spans="1:46" ht="15" x14ac:dyDescent="0.25">
      <c r="A156" s="27" t="s">
        <v>85</v>
      </c>
      <c r="B156" s="28"/>
      <c r="C156" s="124">
        <f>IF(AND(C153=1,C150&gt;C142),MAX(MIN(C135,C155)-(C150-MIN(C155,C135,0)),0),C135)</f>
        <v>80</v>
      </c>
      <c r="D156" s="45"/>
      <c r="E156" s="157"/>
      <c r="L156" s="55"/>
      <c r="T156" s="54"/>
      <c r="U156" s="158" t="s">
        <v>86</v>
      </c>
      <c r="V156" s="159"/>
      <c r="W156" s="54"/>
      <c r="X156" s="54"/>
      <c r="AD156" s="137"/>
      <c r="AM156" s="55"/>
      <c r="AN156" s="55"/>
      <c r="AO156" s="55"/>
      <c r="AP156" s="55"/>
      <c r="AQ156" s="55"/>
      <c r="AR156" s="55"/>
      <c r="AS156" s="55"/>
      <c r="AT156" s="55"/>
    </row>
    <row r="157" spans="1:46" ht="15.75" thickBot="1" x14ac:dyDescent="0.3">
      <c r="A157" s="33" t="s">
        <v>87</v>
      </c>
      <c r="B157" s="34"/>
      <c r="C157" s="139">
        <f>IF(AND(C154=1,C151&gt;C142),MAX(MIN(C135,C155)-(C151-MAX(C155-C135,0)),C132),C135)</f>
        <v>100</v>
      </c>
      <c r="D157" s="141"/>
      <c r="E157" s="157"/>
      <c r="L157" s="55"/>
      <c r="T157" s="149" t="s">
        <v>88</v>
      </c>
      <c r="U157" s="160" t="s">
        <v>89</v>
      </c>
      <c r="V157" s="160"/>
      <c r="W157" s="160"/>
      <c r="X157" s="161"/>
      <c r="Y157" s="103">
        <f>MIN(R152,AG152)</f>
        <v>0</v>
      </c>
      <c r="AB157" s="145"/>
      <c r="AM157" s="55"/>
      <c r="AN157" s="55"/>
      <c r="AO157" s="55"/>
      <c r="AP157" s="55"/>
      <c r="AQ157" s="55"/>
      <c r="AR157" s="55"/>
      <c r="AS157" s="55"/>
      <c r="AT157" s="55"/>
    </row>
    <row r="158" spans="1:46" ht="42.75" x14ac:dyDescent="0.25">
      <c r="A158" s="149" t="s">
        <v>99</v>
      </c>
      <c r="C158">
        <v>0</v>
      </c>
      <c r="E158" s="55"/>
      <c r="L158" s="55"/>
      <c r="U158" s="162" t="s">
        <v>90</v>
      </c>
      <c r="V158" s="162"/>
      <c r="W158" s="162"/>
      <c r="X158" s="163"/>
      <c r="Y158" s="175"/>
      <c r="Z158" s="175"/>
      <c r="AA158" s="175"/>
      <c r="AB158" s="164"/>
      <c r="AC158" s="164"/>
      <c r="AD158" s="165"/>
      <c r="AE158" s="165"/>
      <c r="AM158" s="55"/>
      <c r="AN158" s="55"/>
      <c r="AO158" s="55"/>
      <c r="AP158" s="55"/>
      <c r="AQ158" s="55"/>
      <c r="AR158" s="55"/>
      <c r="AS158" s="55"/>
      <c r="AT158" s="55"/>
    </row>
    <row r="159" spans="1:46" ht="15" x14ac:dyDescent="0.25">
      <c r="A159" s="149"/>
      <c r="E159" s="55"/>
      <c r="L159" s="55"/>
      <c r="U159" s="162"/>
      <c r="V159" s="162"/>
      <c r="W159" s="162"/>
      <c r="X159" s="163"/>
      <c r="Y159" s="175"/>
      <c r="Z159" s="175"/>
      <c r="AA159" s="175"/>
      <c r="AB159" s="164"/>
      <c r="AC159" s="164"/>
      <c r="AD159" s="165"/>
      <c r="AE159" s="165"/>
      <c r="AM159" s="55"/>
      <c r="AN159" s="55"/>
      <c r="AO159" s="55"/>
      <c r="AP159" s="55"/>
      <c r="AQ159" s="55"/>
      <c r="AR159" s="55"/>
      <c r="AS159" s="55"/>
      <c r="AT159" s="55"/>
    </row>
    <row r="160" spans="1:46" ht="15" x14ac:dyDescent="0.25">
      <c r="A160" s="149"/>
      <c r="E160" s="55"/>
      <c r="L160" s="55"/>
      <c r="U160" s="162"/>
      <c r="V160" s="162"/>
      <c r="W160" s="162"/>
      <c r="X160" s="163"/>
      <c r="Y160" s="175"/>
      <c r="Z160" s="175"/>
      <c r="AA160" s="175"/>
      <c r="AB160" s="164"/>
      <c r="AC160" s="164"/>
      <c r="AD160" s="165"/>
      <c r="AE160" s="165"/>
      <c r="AM160" s="55"/>
      <c r="AN160" s="55"/>
      <c r="AO160" s="55"/>
      <c r="AP160" s="55"/>
      <c r="AQ160" s="55"/>
      <c r="AR160" s="55"/>
      <c r="AS160" s="55"/>
      <c r="AT160" s="55"/>
    </row>
    <row r="161" spans="1:46" ht="15" x14ac:dyDescent="0.25">
      <c r="A161" s="149"/>
      <c r="E161" s="55"/>
      <c r="L161" s="55"/>
      <c r="U161" s="162"/>
      <c r="V161" s="162"/>
      <c r="W161" s="162"/>
      <c r="X161" s="163"/>
      <c r="Y161" s="175"/>
      <c r="Z161" s="175"/>
      <c r="AA161" s="175"/>
      <c r="AB161" s="164"/>
      <c r="AC161" s="164"/>
      <c r="AD161" s="165"/>
      <c r="AE161" s="165"/>
      <c r="AM161" s="55"/>
      <c r="AN161" s="55"/>
      <c r="AO161" s="55"/>
      <c r="AP161" s="55"/>
      <c r="AQ161" s="55"/>
      <c r="AR161" s="55"/>
      <c r="AS161" s="55"/>
      <c r="AT161" s="55"/>
    </row>
    <row r="162" spans="1:46" ht="15" x14ac:dyDescent="0.25">
      <c r="A162" s="149"/>
      <c r="E162" s="55"/>
      <c r="L162" s="55"/>
      <c r="U162" s="162"/>
      <c r="V162" s="162"/>
      <c r="W162" s="162"/>
      <c r="X162" s="163"/>
      <c r="Y162" s="175"/>
      <c r="Z162" s="175"/>
      <c r="AA162" s="175"/>
      <c r="AB162" s="164"/>
      <c r="AC162" s="164"/>
      <c r="AD162" s="165"/>
      <c r="AE162" s="165"/>
      <c r="AM162" s="55"/>
      <c r="AN162" s="55"/>
      <c r="AO162" s="55"/>
      <c r="AP162" s="55"/>
      <c r="AQ162" s="55"/>
      <c r="AR162" s="55"/>
      <c r="AS162" s="55"/>
      <c r="AT162" s="55"/>
    </row>
    <row r="163" spans="1:46" ht="15" x14ac:dyDescent="0.25">
      <c r="A163" s="149"/>
      <c r="E163" s="55"/>
      <c r="L163" s="55"/>
      <c r="U163" s="162"/>
      <c r="V163" s="162"/>
      <c r="W163" s="162"/>
      <c r="X163" s="163"/>
      <c r="Y163" s="175"/>
      <c r="Z163" s="175"/>
      <c r="AA163" s="175"/>
      <c r="AB163" s="164"/>
      <c r="AC163" s="285"/>
      <c r="AD163" s="165"/>
      <c r="AE163" s="165"/>
      <c r="AM163" s="55"/>
      <c r="AN163" s="55"/>
      <c r="AO163" s="55"/>
      <c r="AP163" s="55"/>
      <c r="AQ163" s="55"/>
      <c r="AR163" s="55"/>
      <c r="AS163" s="55"/>
      <c r="AT163" s="55"/>
    </row>
    <row r="164" spans="1:46" ht="15" x14ac:dyDescent="0.25">
      <c r="A164" s="149"/>
      <c r="E164" s="55"/>
      <c r="L164" s="55"/>
      <c r="U164" s="162"/>
      <c r="V164" s="162"/>
      <c r="W164" s="162"/>
      <c r="X164" s="163"/>
      <c r="Y164" s="175"/>
      <c r="Z164" s="175"/>
      <c r="AA164" s="175"/>
      <c r="AB164" s="164"/>
      <c r="AC164" s="164"/>
      <c r="AD164" s="165"/>
      <c r="AE164" s="165"/>
      <c r="AM164" s="55"/>
      <c r="AN164" s="55"/>
      <c r="AO164" s="55"/>
      <c r="AP164" s="55"/>
      <c r="AQ164" s="55"/>
      <c r="AR164" s="55"/>
      <c r="AS164" s="55"/>
      <c r="AT164" s="55"/>
    </row>
    <row r="165" spans="1:46" ht="15" x14ac:dyDescent="0.25">
      <c r="A165" s="149"/>
      <c r="E165" s="55"/>
      <c r="L165" s="55"/>
      <c r="U165" s="162"/>
      <c r="V165" s="162"/>
      <c r="W165" s="162"/>
      <c r="X165" s="163"/>
      <c r="Y165" s="175"/>
      <c r="Z165" s="175"/>
      <c r="AA165" s="175"/>
      <c r="AB165" s="164"/>
      <c r="AC165" s="164"/>
      <c r="AD165" s="165"/>
      <c r="AE165" s="165"/>
      <c r="AM165" s="55"/>
      <c r="AN165" s="55"/>
      <c r="AO165" s="55"/>
      <c r="AP165" s="55"/>
      <c r="AQ165" s="55"/>
      <c r="AR165" s="55"/>
      <c r="AS165" s="55"/>
      <c r="AT165" s="55"/>
    </row>
    <row r="166" spans="1:46" ht="15" x14ac:dyDescent="0.25">
      <c r="A166" s="149"/>
      <c r="E166" s="55"/>
      <c r="L166" s="55"/>
      <c r="U166" s="162"/>
      <c r="V166" s="162"/>
      <c r="W166" s="162"/>
      <c r="X166" s="163"/>
      <c r="Y166" s="175"/>
      <c r="Z166" s="175"/>
      <c r="AA166" s="175"/>
      <c r="AB166" s="164"/>
      <c r="AC166" s="164"/>
      <c r="AD166" s="165"/>
      <c r="AE166" s="165"/>
      <c r="AM166" s="55"/>
      <c r="AN166" s="55"/>
      <c r="AO166" s="55"/>
      <c r="AP166" s="55"/>
      <c r="AQ166" s="55"/>
      <c r="AR166" s="55"/>
      <c r="AS166" s="55"/>
      <c r="AT166" s="55"/>
    </row>
    <row r="167" spans="1:46" ht="15" x14ac:dyDescent="0.25">
      <c r="A167" s="149"/>
      <c r="E167" s="55"/>
      <c r="L167" s="55"/>
      <c r="U167" s="162"/>
      <c r="V167" s="162"/>
      <c r="W167" s="162"/>
      <c r="X167" s="163"/>
      <c r="Y167" s="175"/>
      <c r="Z167" s="175"/>
      <c r="AA167" s="175"/>
      <c r="AB167" s="164"/>
      <c r="AC167" s="164"/>
      <c r="AD167" s="165"/>
      <c r="AE167" s="165"/>
      <c r="AM167" s="55"/>
      <c r="AN167" s="55"/>
      <c r="AO167" s="55"/>
      <c r="AP167" s="55"/>
      <c r="AQ167" s="55"/>
      <c r="AR167" s="55"/>
      <c r="AS167" s="55"/>
      <c r="AT167" s="55"/>
    </row>
    <row r="168" spans="1:46" ht="15" x14ac:dyDescent="0.25">
      <c r="A168" s="149"/>
      <c r="E168" s="55"/>
      <c r="L168" s="55"/>
      <c r="U168" s="162"/>
      <c r="V168" s="162"/>
      <c r="W168" s="162"/>
      <c r="X168" s="163"/>
      <c r="Y168" s="175"/>
      <c r="Z168" s="175"/>
      <c r="AA168" s="175"/>
      <c r="AB168" s="164"/>
      <c r="AC168" s="164"/>
      <c r="AD168" s="165"/>
      <c r="AE168" s="165"/>
      <c r="AM168" s="55"/>
      <c r="AN168" s="55"/>
      <c r="AO168" s="55"/>
      <c r="AP168" s="55"/>
      <c r="AQ168" s="55"/>
      <c r="AR168" s="55"/>
      <c r="AS168" s="55"/>
      <c r="AT168" s="55"/>
    </row>
    <row r="169" spans="1:46" ht="15" x14ac:dyDescent="0.25">
      <c r="A169" s="149"/>
      <c r="E169" s="55"/>
      <c r="L169" s="55"/>
      <c r="U169" s="162"/>
      <c r="V169" s="162"/>
      <c r="W169" s="162"/>
      <c r="X169" s="163"/>
      <c r="Y169" s="175"/>
      <c r="Z169" s="175"/>
      <c r="AA169" s="175"/>
      <c r="AB169" s="164"/>
      <c r="AC169" s="164"/>
      <c r="AD169" s="165"/>
      <c r="AE169" s="165"/>
      <c r="AM169" s="55"/>
      <c r="AN169" s="55"/>
      <c r="AO169" s="55"/>
      <c r="AP169" s="55"/>
      <c r="AQ169" s="55"/>
      <c r="AR169" s="55"/>
      <c r="AS169" s="55"/>
      <c r="AT169" s="55"/>
    </row>
    <row r="170" spans="1:46" ht="15" x14ac:dyDescent="0.25">
      <c r="A170" s="149"/>
      <c r="E170" s="55"/>
      <c r="L170" s="55"/>
      <c r="U170" s="162"/>
      <c r="V170" s="162"/>
      <c r="W170" s="162"/>
      <c r="X170" s="163"/>
      <c r="Y170" s="175"/>
      <c r="Z170" s="175"/>
      <c r="AA170" s="175"/>
      <c r="AB170" s="164"/>
      <c r="AC170" s="164"/>
      <c r="AD170" s="165"/>
      <c r="AE170" s="165"/>
      <c r="AM170" s="55"/>
      <c r="AN170" s="55"/>
      <c r="AO170" s="55"/>
      <c r="AP170" s="55"/>
      <c r="AQ170" s="55"/>
      <c r="AR170" s="55"/>
      <c r="AS170" s="55"/>
      <c r="AT170" s="55"/>
    </row>
    <row r="171" spans="1:46" ht="15" x14ac:dyDescent="0.25">
      <c r="A171" s="149"/>
      <c r="E171" s="55"/>
      <c r="L171" s="55"/>
      <c r="U171" s="162"/>
      <c r="V171" s="162"/>
      <c r="W171" s="162"/>
      <c r="X171" s="163"/>
      <c r="Y171" s="175"/>
      <c r="Z171" s="175"/>
      <c r="AA171" s="175"/>
      <c r="AB171" s="164"/>
      <c r="AC171" s="164"/>
      <c r="AD171" s="165"/>
      <c r="AE171" s="165"/>
      <c r="AM171" s="55"/>
      <c r="AN171" s="55"/>
      <c r="AO171" s="55"/>
      <c r="AP171" s="55"/>
      <c r="AQ171" s="55"/>
      <c r="AR171" s="55"/>
      <c r="AS171" s="55"/>
      <c r="AT171" s="55"/>
    </row>
    <row r="172" spans="1:46" ht="15" x14ac:dyDescent="0.25">
      <c r="A172" s="149"/>
      <c r="E172" s="55"/>
      <c r="L172" s="55"/>
      <c r="U172" s="162"/>
      <c r="V172" s="162"/>
      <c r="W172" s="162"/>
      <c r="X172" s="163"/>
      <c r="Y172" s="175"/>
      <c r="Z172" s="175"/>
      <c r="AA172" s="175"/>
      <c r="AB172" s="164"/>
      <c r="AC172" s="164"/>
      <c r="AD172" s="165"/>
      <c r="AE172" s="165"/>
      <c r="AM172" s="55"/>
      <c r="AN172" s="55"/>
      <c r="AO172" s="55"/>
      <c r="AP172" s="55"/>
      <c r="AQ172" s="55"/>
      <c r="AR172" s="55"/>
      <c r="AS172" s="55"/>
      <c r="AT172" s="55"/>
    </row>
    <row r="173" spans="1:46" ht="15" x14ac:dyDescent="0.25">
      <c r="A173" s="149"/>
      <c r="E173" s="55"/>
      <c r="L173" s="55"/>
      <c r="U173" s="162"/>
      <c r="V173" s="162"/>
      <c r="W173" s="162"/>
      <c r="X173" s="163"/>
      <c r="Y173" s="175"/>
      <c r="Z173" s="175"/>
      <c r="AA173" s="175"/>
      <c r="AB173" s="164"/>
      <c r="AC173" s="164"/>
      <c r="AD173" s="165"/>
      <c r="AE173" s="165"/>
      <c r="AM173" s="55"/>
      <c r="AN173" s="55"/>
      <c r="AO173" s="55"/>
      <c r="AP173" s="55"/>
      <c r="AQ173" s="55"/>
      <c r="AR173" s="55"/>
      <c r="AS173" s="55"/>
      <c r="AT173" s="55"/>
    </row>
    <row r="174" spans="1:46" ht="15" x14ac:dyDescent="0.25">
      <c r="A174" s="149"/>
      <c r="E174" s="55"/>
      <c r="L174" s="55"/>
      <c r="U174" s="162"/>
      <c r="V174" s="162"/>
      <c r="W174" s="162"/>
      <c r="X174" s="163"/>
      <c r="Y174" s="175"/>
      <c r="Z174" s="175"/>
      <c r="AA174" s="175"/>
      <c r="AB174" s="164"/>
      <c r="AC174" s="164"/>
      <c r="AD174" s="165"/>
      <c r="AE174" s="165"/>
      <c r="AM174" s="55"/>
      <c r="AN174" s="55"/>
      <c r="AO174" s="55"/>
      <c r="AP174" s="55"/>
      <c r="AQ174" s="55"/>
      <c r="AR174" s="55"/>
      <c r="AS174" s="55"/>
      <c r="AT174" s="55"/>
    </row>
    <row r="175" spans="1:46" ht="15" x14ac:dyDescent="0.25">
      <c r="A175" s="149"/>
      <c r="E175" s="55"/>
      <c r="L175" s="55"/>
      <c r="U175" s="162"/>
      <c r="V175" s="162"/>
      <c r="W175" s="162"/>
      <c r="X175" s="163"/>
      <c r="Y175" s="175"/>
      <c r="Z175" s="175"/>
      <c r="AA175" s="175"/>
      <c r="AB175" s="164"/>
      <c r="AC175" s="164"/>
      <c r="AD175" s="165"/>
      <c r="AE175" s="165"/>
      <c r="AM175" s="55"/>
      <c r="AN175" s="55"/>
      <c r="AO175" s="55"/>
      <c r="AP175" s="55"/>
      <c r="AQ175" s="55"/>
      <c r="AR175" s="55"/>
      <c r="AS175" s="55"/>
      <c r="AT175" s="55"/>
    </row>
    <row r="176" spans="1:46" ht="15" x14ac:dyDescent="0.25">
      <c r="A176" s="149"/>
      <c r="E176" s="55"/>
      <c r="L176" s="55"/>
      <c r="U176" s="162"/>
      <c r="V176" s="162"/>
      <c r="W176" s="162"/>
      <c r="X176" s="163"/>
      <c r="Y176" s="175"/>
      <c r="Z176" s="175"/>
      <c r="AA176" s="175"/>
      <c r="AB176" s="164"/>
      <c r="AC176" s="164"/>
      <c r="AD176" s="165"/>
      <c r="AE176" s="165"/>
      <c r="AM176" s="55"/>
      <c r="AN176" s="55"/>
      <c r="AO176" s="55"/>
      <c r="AP176" s="55"/>
      <c r="AQ176" s="55"/>
      <c r="AR176" s="55"/>
      <c r="AS176" s="55"/>
      <c r="AT176" s="55"/>
    </row>
    <row r="177" spans="1:46" ht="15" x14ac:dyDescent="0.25">
      <c r="A177" s="149"/>
      <c r="E177" s="55"/>
      <c r="L177" s="55"/>
      <c r="U177" s="162"/>
      <c r="V177" s="162"/>
      <c r="W177" s="162"/>
      <c r="X177" s="163"/>
      <c r="Y177" s="175"/>
      <c r="Z177" s="175"/>
      <c r="AA177" s="175"/>
      <c r="AB177" s="164"/>
      <c r="AC177" s="164"/>
      <c r="AD177" s="165"/>
      <c r="AE177" s="165"/>
      <c r="AM177" s="55"/>
      <c r="AN177" s="55"/>
      <c r="AO177" s="55"/>
      <c r="AP177" s="55"/>
      <c r="AQ177" s="55"/>
      <c r="AR177" s="55"/>
      <c r="AS177" s="55"/>
      <c r="AT177" s="55"/>
    </row>
    <row r="178" spans="1:46" ht="15" x14ac:dyDescent="0.25">
      <c r="A178" s="149"/>
      <c r="E178" s="55"/>
      <c r="L178" s="55"/>
      <c r="U178" s="162"/>
      <c r="V178" s="162"/>
      <c r="W178" s="162"/>
      <c r="X178" s="163"/>
      <c r="Y178" s="175"/>
      <c r="Z178" s="175"/>
      <c r="AA178" s="175"/>
      <c r="AB178" s="164"/>
      <c r="AC178" s="164"/>
      <c r="AD178" s="165"/>
      <c r="AE178" s="165"/>
      <c r="AM178" s="55"/>
      <c r="AN178" s="55"/>
      <c r="AO178" s="55"/>
      <c r="AP178" s="55"/>
      <c r="AQ178" s="55"/>
      <c r="AR178" s="55"/>
      <c r="AS178" s="55"/>
      <c r="AT178" s="55"/>
    </row>
    <row r="179" spans="1:46" ht="15" x14ac:dyDescent="0.25">
      <c r="A179" s="149"/>
      <c r="E179" s="55"/>
      <c r="L179" s="55"/>
      <c r="U179" s="162"/>
      <c r="V179" s="162"/>
      <c r="W179" s="162"/>
      <c r="X179" s="163"/>
      <c r="Y179" s="175"/>
      <c r="Z179" s="175"/>
      <c r="AA179" s="175"/>
      <c r="AB179" s="164"/>
      <c r="AC179" s="164"/>
      <c r="AD179" s="165"/>
      <c r="AE179" s="165"/>
      <c r="AM179" s="55"/>
      <c r="AN179" s="55"/>
      <c r="AO179" s="55"/>
      <c r="AP179" s="55"/>
      <c r="AQ179" s="55"/>
      <c r="AR179" s="55"/>
      <c r="AS179" s="55"/>
      <c r="AT179" s="55"/>
    </row>
    <row r="180" spans="1:46" ht="15" x14ac:dyDescent="0.25">
      <c r="A180" s="149"/>
      <c r="E180" s="55"/>
      <c r="L180" s="55"/>
      <c r="U180" s="162"/>
      <c r="V180" s="162"/>
      <c r="W180" s="162"/>
      <c r="X180" s="163"/>
      <c r="Y180" s="175"/>
      <c r="Z180" s="175"/>
      <c r="AA180" s="175"/>
      <c r="AB180" s="164"/>
      <c r="AC180" s="164"/>
      <c r="AD180" s="165"/>
      <c r="AE180" s="165"/>
      <c r="AM180" s="55"/>
      <c r="AN180" s="55"/>
      <c r="AO180" s="55"/>
      <c r="AP180" s="55"/>
      <c r="AQ180" s="55"/>
      <c r="AR180" s="55"/>
      <c r="AS180" s="55"/>
      <c r="AT180" s="55"/>
    </row>
    <row r="181" spans="1:46" ht="15" x14ac:dyDescent="0.25">
      <c r="A181" s="149"/>
      <c r="E181" s="55"/>
      <c r="L181" s="55"/>
      <c r="U181" s="162"/>
      <c r="V181" s="162"/>
      <c r="W181" s="162"/>
      <c r="X181" s="163"/>
      <c r="Y181" s="175"/>
      <c r="Z181" s="175"/>
      <c r="AA181" s="175"/>
      <c r="AB181" s="164"/>
      <c r="AC181" s="164"/>
      <c r="AD181" s="165"/>
      <c r="AE181" s="165"/>
      <c r="AM181" s="55"/>
      <c r="AN181" s="55"/>
      <c r="AO181" s="55"/>
      <c r="AP181" s="55"/>
      <c r="AQ181" s="55"/>
      <c r="AR181" s="55"/>
      <c r="AS181" s="55"/>
      <c r="AT181" s="55"/>
    </row>
    <row r="182" spans="1:46" ht="15" x14ac:dyDescent="0.25">
      <c r="A182" s="149"/>
      <c r="E182" s="55"/>
      <c r="L182" s="55"/>
      <c r="U182" s="162"/>
      <c r="V182" s="162"/>
      <c r="W182" s="162"/>
      <c r="X182" s="163"/>
      <c r="Y182" s="175"/>
      <c r="Z182" s="175"/>
      <c r="AA182" s="175"/>
      <c r="AB182" s="164"/>
      <c r="AC182" s="164"/>
      <c r="AD182" s="165"/>
      <c r="AE182" s="165"/>
      <c r="AM182" s="55"/>
      <c r="AN182" s="55"/>
      <c r="AO182" s="55"/>
      <c r="AP182" s="55"/>
      <c r="AQ182" s="55"/>
      <c r="AR182" s="55"/>
      <c r="AS182" s="55"/>
      <c r="AT182" s="55"/>
    </row>
    <row r="183" spans="1:46" ht="15" x14ac:dyDescent="0.25">
      <c r="A183" s="149"/>
      <c r="E183" s="55"/>
      <c r="L183" s="55"/>
      <c r="U183" s="162"/>
      <c r="V183" s="162"/>
      <c r="W183" s="162"/>
      <c r="X183" s="163"/>
      <c r="Y183" s="175"/>
      <c r="Z183" s="175"/>
      <c r="AA183" s="175"/>
      <c r="AB183" s="164"/>
      <c r="AC183" s="164"/>
      <c r="AD183" s="165"/>
      <c r="AE183" s="165"/>
      <c r="AM183" s="55"/>
      <c r="AN183" s="55"/>
      <c r="AO183" s="55"/>
      <c r="AP183" s="55"/>
      <c r="AQ183" s="55"/>
      <c r="AR183" s="55"/>
      <c r="AS183" s="55"/>
      <c r="AT183" s="55"/>
    </row>
    <row r="184" spans="1:46" ht="15" x14ac:dyDescent="0.25">
      <c r="A184" s="149"/>
      <c r="E184" s="55"/>
      <c r="L184" s="55"/>
      <c r="U184" s="162"/>
      <c r="V184" s="162"/>
      <c r="W184" s="162"/>
      <c r="X184" s="163"/>
      <c r="Y184" s="175"/>
      <c r="Z184" s="175"/>
      <c r="AA184" s="175"/>
      <c r="AB184" s="164"/>
      <c r="AC184" s="164"/>
      <c r="AD184" s="165"/>
      <c r="AE184" s="165"/>
      <c r="AM184" s="55"/>
      <c r="AN184" s="55"/>
      <c r="AO184" s="55"/>
      <c r="AP184" s="55"/>
      <c r="AQ184" s="55"/>
      <c r="AR184" s="55"/>
      <c r="AS184" s="55"/>
      <c r="AT184" s="55"/>
    </row>
    <row r="185" spans="1:46" ht="15" x14ac:dyDescent="0.25">
      <c r="A185" s="149"/>
      <c r="E185" s="55"/>
      <c r="L185" s="55"/>
      <c r="U185" s="162"/>
      <c r="V185" s="162"/>
      <c r="W185" s="162"/>
      <c r="X185" s="163"/>
      <c r="Y185" s="175"/>
      <c r="Z185" s="175"/>
      <c r="AA185" s="175"/>
      <c r="AB185" s="164"/>
      <c r="AC185" s="164"/>
      <c r="AD185" s="165"/>
      <c r="AE185" s="165"/>
      <c r="AM185" s="55"/>
      <c r="AN185" s="55"/>
      <c r="AO185" s="55"/>
      <c r="AP185" s="55"/>
      <c r="AQ185" s="55"/>
      <c r="AR185" s="55"/>
      <c r="AS185" s="55"/>
      <c r="AT185" s="55"/>
    </row>
    <row r="186" spans="1:46" ht="15" x14ac:dyDescent="0.25">
      <c r="A186" s="149"/>
      <c r="E186" s="55"/>
      <c r="L186" s="55"/>
      <c r="U186" s="162"/>
      <c r="V186" s="162"/>
      <c r="W186" s="162"/>
      <c r="X186" s="163"/>
      <c r="Y186" s="175"/>
      <c r="Z186" s="175"/>
      <c r="AA186" s="175"/>
      <c r="AB186" s="164"/>
      <c r="AC186" s="164"/>
      <c r="AD186" s="165"/>
      <c r="AE186" s="165"/>
      <c r="AM186" s="55"/>
      <c r="AN186" s="55"/>
      <c r="AO186" s="55"/>
      <c r="AP186" s="55"/>
      <c r="AQ186" s="55"/>
      <c r="AR186" s="55"/>
      <c r="AS186" s="55"/>
      <c r="AT186" s="55"/>
    </row>
    <row r="187" spans="1:46" ht="15" x14ac:dyDescent="0.25">
      <c r="A187" s="149"/>
      <c r="E187" s="55"/>
      <c r="L187" s="55"/>
      <c r="U187" s="162"/>
      <c r="V187" s="162"/>
      <c r="W187" s="162"/>
      <c r="X187" s="163"/>
      <c r="Y187" s="175"/>
      <c r="Z187" s="175"/>
      <c r="AA187" s="175"/>
      <c r="AB187" s="164"/>
      <c r="AC187" s="164"/>
      <c r="AD187" s="165"/>
      <c r="AE187" s="165"/>
      <c r="AM187" s="55"/>
      <c r="AN187" s="55"/>
      <c r="AO187" s="55"/>
      <c r="AP187" s="55"/>
      <c r="AQ187" s="55"/>
      <c r="AR187" s="55"/>
      <c r="AS187" s="55"/>
      <c r="AT187" s="55"/>
    </row>
    <row r="188" spans="1:46" ht="15" x14ac:dyDescent="0.25">
      <c r="A188" s="149"/>
      <c r="E188" s="55"/>
      <c r="L188" s="55"/>
      <c r="U188" s="162"/>
      <c r="V188" s="162"/>
      <c r="W188" s="162"/>
      <c r="X188" s="163"/>
      <c r="Y188" s="175"/>
      <c r="Z188" s="175"/>
      <c r="AA188" s="175"/>
      <c r="AB188" s="164"/>
      <c r="AC188" s="164"/>
      <c r="AD188" s="165"/>
      <c r="AE188" s="165"/>
      <c r="AM188" s="55"/>
      <c r="AN188" s="55"/>
      <c r="AO188" s="55"/>
      <c r="AP188" s="55"/>
      <c r="AQ188" s="55"/>
      <c r="AR188" s="55"/>
      <c r="AS188" s="55"/>
      <c r="AT188" s="55"/>
    </row>
    <row r="189" spans="1:46" ht="15" x14ac:dyDescent="0.25">
      <c r="A189" s="149"/>
      <c r="E189" s="55"/>
      <c r="L189" s="55"/>
      <c r="U189" s="162"/>
      <c r="V189" s="162"/>
      <c r="W189" s="162"/>
      <c r="X189" s="163"/>
      <c r="Y189" s="175"/>
      <c r="Z189" s="175"/>
      <c r="AA189" s="175"/>
      <c r="AB189" s="164"/>
      <c r="AC189" s="164"/>
      <c r="AD189" s="165"/>
      <c r="AE189" s="165"/>
      <c r="AM189" s="55"/>
      <c r="AN189" s="55"/>
      <c r="AO189" s="55"/>
      <c r="AP189" s="55"/>
      <c r="AQ189" s="55"/>
      <c r="AR189" s="55"/>
      <c r="AS189" s="55"/>
      <c r="AT189" s="55"/>
    </row>
    <row r="190" spans="1:46" ht="15" x14ac:dyDescent="0.25">
      <c r="A190" s="149"/>
      <c r="E190" s="55"/>
      <c r="L190" s="55"/>
      <c r="U190" s="162"/>
      <c r="V190" s="162"/>
      <c r="W190" s="162"/>
      <c r="X190" s="163"/>
      <c r="Y190" s="175"/>
      <c r="Z190" s="175"/>
      <c r="AA190" s="175"/>
      <c r="AB190" s="164"/>
      <c r="AC190" s="164"/>
      <c r="AD190" s="165"/>
      <c r="AE190" s="165"/>
      <c r="AM190" s="55"/>
      <c r="AN190" s="55"/>
      <c r="AO190" s="55"/>
      <c r="AP190" s="55"/>
      <c r="AQ190" s="55"/>
      <c r="AR190" s="55"/>
      <c r="AS190" s="55"/>
      <c r="AT190" s="55"/>
    </row>
    <row r="191" spans="1:46" ht="15" x14ac:dyDescent="0.25">
      <c r="A191" s="149"/>
      <c r="E191" s="55"/>
      <c r="L191" s="55"/>
      <c r="U191" s="162"/>
      <c r="V191" s="162"/>
      <c r="W191" s="162"/>
      <c r="X191" s="163"/>
      <c r="Y191" s="175"/>
      <c r="Z191" s="175"/>
      <c r="AA191" s="175"/>
      <c r="AB191" s="164"/>
      <c r="AC191" s="164"/>
      <c r="AD191" s="165"/>
      <c r="AE191" s="165"/>
      <c r="AM191" s="55"/>
      <c r="AN191" s="55"/>
      <c r="AO191" s="55"/>
      <c r="AP191" s="55"/>
      <c r="AQ191" s="55"/>
      <c r="AR191" s="55"/>
      <c r="AS191" s="55"/>
      <c r="AT191" s="55"/>
    </row>
    <row r="192" spans="1:46" ht="15" x14ac:dyDescent="0.25">
      <c r="A192" s="149"/>
      <c r="E192" s="55"/>
      <c r="L192" s="55"/>
      <c r="U192" s="162"/>
      <c r="V192" s="162"/>
      <c r="W192" s="162"/>
      <c r="X192" s="163"/>
      <c r="Y192" s="175"/>
      <c r="Z192" s="175"/>
      <c r="AA192" s="175"/>
      <c r="AB192" s="164"/>
      <c r="AC192" s="164"/>
      <c r="AD192" s="165"/>
      <c r="AE192" s="165"/>
      <c r="AM192" s="55"/>
      <c r="AN192" s="55"/>
      <c r="AO192" s="55"/>
      <c r="AP192" s="55"/>
      <c r="AQ192" s="55"/>
      <c r="AR192" s="55"/>
      <c r="AS192" s="55"/>
      <c r="AT192" s="55"/>
    </row>
    <row r="193" spans="1:46" ht="15" x14ac:dyDescent="0.25">
      <c r="A193" s="149"/>
      <c r="E193" s="55"/>
      <c r="L193" s="55"/>
      <c r="U193" s="162"/>
      <c r="V193" s="162"/>
      <c r="W193" s="162"/>
      <c r="X193" s="163"/>
      <c r="Y193" s="175"/>
      <c r="Z193" s="175"/>
      <c r="AA193" s="175"/>
      <c r="AB193" s="164"/>
      <c r="AC193" s="164"/>
      <c r="AD193" s="165"/>
      <c r="AE193" s="165"/>
      <c r="AM193" s="55"/>
      <c r="AN193" s="55"/>
      <c r="AO193" s="55"/>
      <c r="AP193" s="55"/>
      <c r="AQ193" s="55"/>
      <c r="AR193" s="55"/>
      <c r="AS193" s="55"/>
      <c r="AT193" s="55"/>
    </row>
    <row r="194" spans="1:46" ht="15" x14ac:dyDescent="0.25">
      <c r="A194" s="149"/>
      <c r="E194" s="55"/>
      <c r="L194" s="55"/>
      <c r="U194" s="162"/>
      <c r="V194" s="162"/>
      <c r="W194" s="162"/>
      <c r="X194" s="163"/>
      <c r="Y194" s="175"/>
      <c r="Z194" s="175"/>
      <c r="AA194" s="175"/>
      <c r="AB194" s="164"/>
      <c r="AC194" s="164"/>
      <c r="AD194" s="165"/>
      <c r="AE194" s="165"/>
      <c r="AM194" s="55"/>
      <c r="AN194" s="55"/>
      <c r="AO194" s="55"/>
      <c r="AP194" s="55"/>
      <c r="AQ194" s="55"/>
      <c r="AR194" s="55"/>
      <c r="AS194" s="55"/>
      <c r="AT194" s="55"/>
    </row>
    <row r="195" spans="1:46" ht="15" x14ac:dyDescent="0.25">
      <c r="A195" s="149"/>
      <c r="E195" s="55"/>
      <c r="L195" s="55"/>
      <c r="U195" s="162"/>
      <c r="V195" s="162"/>
      <c r="W195" s="162"/>
      <c r="X195" s="163"/>
      <c r="Y195" s="175"/>
      <c r="Z195" s="175"/>
      <c r="AA195" s="175"/>
      <c r="AB195" s="164"/>
      <c r="AC195" s="164"/>
      <c r="AD195" s="165"/>
      <c r="AE195" s="165"/>
      <c r="AM195" s="55"/>
      <c r="AN195" s="55"/>
      <c r="AO195" s="55"/>
      <c r="AP195" s="55"/>
      <c r="AQ195" s="55"/>
      <c r="AR195" s="55"/>
      <c r="AS195" s="55"/>
      <c r="AT195" s="55"/>
    </row>
    <row r="196" spans="1:46" ht="15" x14ac:dyDescent="0.25">
      <c r="A196" s="149"/>
      <c r="E196" s="55"/>
      <c r="L196" s="55"/>
      <c r="U196" s="162"/>
      <c r="V196" s="162"/>
      <c r="W196" s="162"/>
      <c r="X196" s="163"/>
      <c r="Y196" s="175"/>
      <c r="Z196" s="175"/>
      <c r="AA196" s="175"/>
      <c r="AB196" s="164"/>
      <c r="AC196" s="164"/>
      <c r="AD196" s="165"/>
      <c r="AE196" s="165"/>
      <c r="AM196" s="55"/>
      <c r="AN196" s="55"/>
      <c r="AO196" s="55"/>
      <c r="AP196" s="55"/>
      <c r="AQ196" s="55"/>
      <c r="AR196" s="55"/>
      <c r="AS196" s="55"/>
      <c r="AT196" s="55"/>
    </row>
    <row r="197" spans="1:46" ht="15" x14ac:dyDescent="0.25">
      <c r="A197" s="149"/>
      <c r="E197" s="55"/>
      <c r="L197" s="55"/>
      <c r="U197" s="162"/>
      <c r="V197" s="162"/>
      <c r="W197" s="162"/>
      <c r="X197" s="163"/>
      <c r="Y197" s="175"/>
      <c r="Z197" s="175"/>
      <c r="AA197" s="175"/>
      <c r="AB197" s="164"/>
      <c r="AC197" s="164"/>
      <c r="AD197" s="165"/>
      <c r="AE197" s="165"/>
      <c r="AM197" s="55"/>
      <c r="AN197" s="55"/>
      <c r="AO197" s="55"/>
      <c r="AP197" s="55"/>
      <c r="AQ197" s="55"/>
      <c r="AR197" s="55"/>
      <c r="AS197" s="55"/>
      <c r="AT197" s="55"/>
    </row>
    <row r="198" spans="1:46" ht="15" x14ac:dyDescent="0.25">
      <c r="A198" s="149"/>
      <c r="E198" s="55"/>
      <c r="L198" s="55"/>
      <c r="U198" s="162"/>
      <c r="V198" s="162"/>
      <c r="W198" s="162"/>
      <c r="X198" s="163"/>
      <c r="Y198" s="175"/>
      <c r="Z198" s="175"/>
      <c r="AA198" s="175"/>
      <c r="AB198" s="164"/>
      <c r="AC198" s="164"/>
      <c r="AD198" s="165"/>
      <c r="AE198" s="165"/>
      <c r="AM198" s="55"/>
      <c r="AN198" s="55"/>
      <c r="AO198" s="55"/>
      <c r="AP198" s="55"/>
      <c r="AQ198" s="55"/>
      <c r="AR198" s="55"/>
      <c r="AS198" s="55"/>
      <c r="AT198" s="55"/>
    </row>
    <row r="199" spans="1:46" ht="15" x14ac:dyDescent="0.25">
      <c r="A199" s="149"/>
      <c r="E199" s="55"/>
      <c r="L199" s="55"/>
      <c r="AB199" s="55"/>
      <c r="AC199" s="55"/>
      <c r="AD199" s="55"/>
      <c r="AE199" s="55"/>
      <c r="AF199" s="55"/>
      <c r="AG199" s="55"/>
      <c r="AH199" s="55"/>
      <c r="AI199" s="55"/>
    </row>
    <row r="200" spans="1:46" ht="15" x14ac:dyDescent="0.25">
      <c r="A200" s="149"/>
      <c r="E200" s="55"/>
      <c r="L200" s="55"/>
      <c r="AC200" s="150"/>
      <c r="AD200" s="150"/>
      <c r="AE200" s="150"/>
    </row>
    <row r="201" spans="1:46" ht="15" x14ac:dyDescent="0.25">
      <c r="E201" s="55"/>
      <c r="L201" s="55"/>
      <c r="AC201" s="90"/>
      <c r="AD201" s="90"/>
      <c r="AE201" s="90"/>
    </row>
    <row r="202" spans="1:46" x14ac:dyDescent="0.2">
      <c r="E202" s="55"/>
      <c r="L202" s="55"/>
      <c r="AC202" s="150"/>
      <c r="AD202" s="150"/>
      <c r="AE202" s="150"/>
      <c r="AG202" s="137"/>
    </row>
    <row r="203" spans="1:46" ht="15" x14ac:dyDescent="0.25">
      <c r="A203" s="149"/>
      <c r="E203" s="55"/>
      <c r="L203" s="55"/>
      <c r="AC203" s="154"/>
      <c r="AD203" s="90"/>
      <c r="AE203" s="90"/>
      <c r="AH203" s="137"/>
    </row>
    <row r="204" spans="1:46" ht="15" x14ac:dyDescent="0.25">
      <c r="E204" s="55"/>
      <c r="L204" s="55"/>
      <c r="AC204" s="154"/>
      <c r="AD204" s="90"/>
      <c r="AE204" s="90"/>
      <c r="AH204" s="137"/>
    </row>
    <row r="205" spans="1:46" x14ac:dyDescent="0.2">
      <c r="E205" s="55"/>
      <c r="L205" s="55"/>
    </row>
    <row r="206" spans="1:46" x14ac:dyDescent="0.2">
      <c r="E206" s="55"/>
      <c r="L206" s="55"/>
    </row>
    <row r="207" spans="1:46" x14ac:dyDescent="0.2">
      <c r="E207" s="55"/>
      <c r="L207" s="55"/>
    </row>
    <row r="208" spans="1:46" x14ac:dyDescent="0.2">
      <c r="E208" s="55"/>
    </row>
    <row r="209" spans="1:28" x14ac:dyDescent="0.2">
      <c r="F209" s="55"/>
    </row>
    <row r="218" spans="1:28" ht="20.25" x14ac:dyDescent="0.3">
      <c r="A218" s="1" t="s">
        <v>104</v>
      </c>
      <c r="B218" s="1"/>
      <c r="C218" s="1"/>
      <c r="D218" s="1"/>
      <c r="E218" s="1"/>
      <c r="F218" s="1"/>
      <c r="G218" s="1"/>
      <c r="H218" s="1"/>
      <c r="I218" s="1"/>
      <c r="J218" s="1"/>
      <c r="K218" s="1"/>
      <c r="L218" s="1"/>
      <c r="M218" s="1"/>
      <c r="N218" s="1"/>
      <c r="O218" s="1"/>
      <c r="P218" s="1"/>
      <c r="Q218" s="2"/>
      <c r="R218" s="2"/>
      <c r="S218" s="2"/>
      <c r="T218" s="2"/>
    </row>
    <row r="219" spans="1:28" ht="15.75" thickBot="1" x14ac:dyDescent="0.3">
      <c r="A219" s="293" t="s">
        <v>106</v>
      </c>
      <c r="B219" s="293"/>
      <c r="C219" s="293"/>
      <c r="D219" s="293"/>
      <c r="E219" s="293"/>
      <c r="F219" s="293"/>
      <c r="G219" s="293"/>
      <c r="H219" s="293"/>
      <c r="I219" s="293"/>
      <c r="J219" s="293"/>
      <c r="K219" s="293"/>
      <c r="L219" s="293"/>
      <c r="M219" s="293"/>
      <c r="N219" s="293"/>
      <c r="O219" s="293"/>
      <c r="P219" s="293"/>
      <c r="Q219" s="293"/>
      <c r="R219" s="293"/>
      <c r="S219" s="293"/>
      <c r="T219" s="293"/>
    </row>
    <row r="220" spans="1:28" ht="15.75" thickBot="1" x14ac:dyDescent="0.3">
      <c r="A220" s="3" t="s">
        <v>0</v>
      </c>
      <c r="B220" s="4"/>
      <c r="C220" s="4"/>
      <c r="D220" s="5"/>
      <c r="E220" s="6" t="s">
        <v>1</v>
      </c>
      <c r="F220" s="7"/>
      <c r="G220" s="8"/>
      <c r="H220" s="9" t="s">
        <v>2</v>
      </c>
      <c r="I220" s="10"/>
      <c r="J220" s="11"/>
      <c r="K220" s="9" t="s">
        <v>3</v>
      </c>
      <c r="L220" s="10"/>
      <c r="M220" s="11"/>
      <c r="N220" s="9" t="s">
        <v>4</v>
      </c>
      <c r="O220" s="10"/>
      <c r="P220" s="11"/>
      <c r="Q220" s="9" t="s">
        <v>5</v>
      </c>
      <c r="R220" s="10"/>
      <c r="S220" s="10"/>
      <c r="T220" s="11"/>
      <c r="U220" s="9" t="s">
        <v>6</v>
      </c>
      <c r="V220" s="10"/>
      <c r="W220" s="10"/>
      <c r="X220" s="11"/>
      <c r="Y220" s="9" t="s">
        <v>7</v>
      </c>
      <c r="Z220" s="10"/>
      <c r="AA220" s="10"/>
      <c r="AB220" s="11"/>
    </row>
    <row r="221" spans="1:28" ht="30.75" thickBot="1" x14ac:dyDescent="0.3">
      <c r="A221" s="12" t="s">
        <v>8</v>
      </c>
      <c r="B221" s="13" t="s">
        <v>9</v>
      </c>
      <c r="C221" s="13" t="s">
        <v>10</v>
      </c>
      <c r="D221" s="14" t="s">
        <v>11</v>
      </c>
      <c r="E221" s="15" t="s">
        <v>12</v>
      </c>
      <c r="F221" s="16" t="s">
        <v>13</v>
      </c>
      <c r="G221" s="17" t="s">
        <v>14</v>
      </c>
      <c r="H221" s="15" t="s">
        <v>12</v>
      </c>
      <c r="I221" s="16" t="s">
        <v>15</v>
      </c>
      <c r="J221" s="17" t="s">
        <v>16</v>
      </c>
      <c r="K221" s="15" t="s">
        <v>12</v>
      </c>
      <c r="L221" s="16" t="s">
        <v>15</v>
      </c>
      <c r="M221" s="17" t="s">
        <v>16</v>
      </c>
      <c r="N221" s="15" t="s">
        <v>12</v>
      </c>
      <c r="O221" s="16" t="s">
        <v>15</v>
      </c>
      <c r="P221" s="17" t="s">
        <v>16</v>
      </c>
      <c r="Q221" s="18" t="s">
        <v>17</v>
      </c>
      <c r="R221" s="13" t="s">
        <v>18</v>
      </c>
      <c r="S221" s="13" t="s">
        <v>15</v>
      </c>
      <c r="T221" s="19" t="s">
        <v>16</v>
      </c>
      <c r="U221" s="18" t="s">
        <v>17</v>
      </c>
      <c r="V221" s="13" t="s">
        <v>18</v>
      </c>
      <c r="W221" s="13" t="s">
        <v>15</v>
      </c>
      <c r="X221" s="19" t="s">
        <v>16</v>
      </c>
      <c r="Y221" s="18" t="s">
        <v>17</v>
      </c>
      <c r="Z221" s="13" t="s">
        <v>18</v>
      </c>
      <c r="AA221" s="13" t="s">
        <v>15</v>
      </c>
      <c r="AB221" s="19" t="s">
        <v>16</v>
      </c>
    </row>
    <row r="222" spans="1:28" ht="15" x14ac:dyDescent="0.25">
      <c r="A222" s="20">
        <v>1</v>
      </c>
      <c r="B222" s="21">
        <v>0</v>
      </c>
      <c r="C222" s="21">
        <v>50</v>
      </c>
      <c r="D222" s="22">
        <v>20</v>
      </c>
      <c r="E222" s="23">
        <f>IF(AND(C237&gt;B222,C237&lt;=C222),C237,0)</f>
        <v>0</v>
      </c>
      <c r="F222" s="24">
        <f>IF(C237&gt;0,D222,0)</f>
        <v>20</v>
      </c>
      <c r="G222" s="22">
        <f>IF(E222&gt;0,IF(E222=B222,D222,IF(AND(E222&gt;B222,E222&lt;=C222),D222+(E222-B222)*((D222-D222)/(C222-B222)),0)),0)</f>
        <v>0</v>
      </c>
      <c r="H222" s="25">
        <f>IF(AND(C246&gt;B222,C246&lt;=C222),C246,0)</f>
        <v>0</v>
      </c>
      <c r="I222" s="24">
        <f>IF(C246&gt;0,D222,0)</f>
        <v>20</v>
      </c>
      <c r="J222" s="22">
        <f>IF(H222&gt;0,IF(H222=B222,D222,IF(AND(H222&gt;B222,H222&lt;=C222),D222+(H222-B222)*((D222-D222)/(C222-B222)),0)),0)</f>
        <v>0</v>
      </c>
      <c r="K222" s="26">
        <f>IF(AND(C248&gt;B222,C248&lt;=C222),C248,0)</f>
        <v>0</v>
      </c>
      <c r="L222" s="24">
        <f>IF(C246&gt;0,D222,0)</f>
        <v>20</v>
      </c>
      <c r="M222" s="22">
        <f>IF(K222&gt;0,IF(K222=B222,D222,IF(AND(K222&gt;B222,K222&lt;=C222),D222+(K222-B222)*((D222-D222)/(C222-B222)),0)),0)</f>
        <v>0</v>
      </c>
      <c r="N222" s="26">
        <f>IF(AND(C249&gt;E222,C249&lt;=F222),C249,0)</f>
        <v>0</v>
      </c>
      <c r="O222" s="24">
        <f>IF(C249&gt;0,D222,0)</f>
        <v>20</v>
      </c>
      <c r="P222" s="22">
        <f>IF(N222&gt;0,IF(N222=B222,D222,IF(AND(N222&gt;B222,N222&lt;=C222),D222+(N222-B222)*((D222-D222)/(C222-B222)),0)),0)</f>
        <v>0</v>
      </c>
      <c r="Q222" s="26">
        <f>IF(C246=C222,C246,0)</f>
        <v>0</v>
      </c>
      <c r="R222" s="21">
        <f>IF(C260=C222,C260,0)</f>
        <v>0</v>
      </c>
      <c r="S222" s="24">
        <f>IF(Q222&gt;0,D222,0)</f>
        <v>0</v>
      </c>
      <c r="T222" s="22">
        <f>IF(R222&gt;0,IF(R222=B222,D222,IF(AND(R222&gt;B222,R222&lt;=C222),D222+(R222-B222)*((D222-D222)/(C222-B222)),0)),0)</f>
        <v>0</v>
      </c>
      <c r="U222" s="26">
        <f>IF(C270=C222,C222,0)</f>
        <v>0</v>
      </c>
      <c r="V222" s="21">
        <f>IF(C267 = 1,IF((C249-C256)=C222,(C249-C256),0),0)</f>
        <v>0</v>
      </c>
      <c r="W222" s="24">
        <f>IF(U222&gt;0,D222,0)</f>
        <v>0</v>
      </c>
      <c r="X222" s="22">
        <f>IF(V222&gt;0,IF(V222=B222,D222,IF(AND(V222&gt;B222,V222&lt;=C222),D222+(V222-B222)*((D222-D222)/(C222-B222)),0)),0)</f>
        <v>0</v>
      </c>
      <c r="Y222" s="26">
        <f>IF(C271=C222,C222,0)</f>
        <v>0</v>
      </c>
      <c r="Z222" s="21">
        <f>IF(C267 = 1,IF((C248-C256)=C222,(C248-C256),0),0)</f>
        <v>50</v>
      </c>
      <c r="AA222" s="24">
        <f>IF(Y222&gt;0,D222,0)</f>
        <v>0</v>
      </c>
      <c r="AB222" s="22">
        <f>IF(Z222&gt;0,IF(Z222=B222,D222,IF(AND(Z222&gt;B222,Z222&lt;=C222),D222+(Z222-B222)*((D222-D222)/(C222-B222)),0)),0)</f>
        <v>20</v>
      </c>
    </row>
    <row r="223" spans="1:28" ht="15" x14ac:dyDescent="0.25">
      <c r="A223" s="27">
        <v>2</v>
      </c>
      <c r="B223" s="28">
        <v>50</v>
      </c>
      <c r="C223" s="28">
        <v>75</v>
      </c>
      <c r="D223" s="29">
        <v>25</v>
      </c>
      <c r="E223" s="30">
        <f>IF(AND(C237&gt;B223,C237&lt;=C223),C237,0)</f>
        <v>0</v>
      </c>
      <c r="F223" s="31">
        <v>0</v>
      </c>
      <c r="G223" s="29">
        <f>IF(E223&gt;0,IF(AND(E223&gt;B223,E223&lt;C223),D222+(E223-B223)*((D223-D222)/(C223-B223)),0),0)</f>
        <v>0</v>
      </c>
      <c r="H223" s="32">
        <f>IF(AND(C246&gt;B223,C246&lt;=C223),C246,0)</f>
        <v>0</v>
      </c>
      <c r="I223" s="31">
        <v>0</v>
      </c>
      <c r="J223" s="29">
        <f>IF(H223&gt;0,IF(H223=B223,D223,IF(AND(H223&gt;B223,H223&lt;=C223),D222+(H223-B223)*((D223-D222)/(C223-B223)),0)),0)</f>
        <v>0</v>
      </c>
      <c r="K223" s="32">
        <f>IF(AND(C248&gt;B223,C248&lt;=C223),C248,0)</f>
        <v>70</v>
      </c>
      <c r="L223" s="31">
        <v>0</v>
      </c>
      <c r="M223" s="29">
        <f>IF(K223&gt;0,IF(K223=B223,D223,IF(AND(K223&gt;B223,K223&lt;=C223),D222+(K223-B223)*((D223-D222)/(C223-B223)),0)),0)</f>
        <v>24</v>
      </c>
      <c r="N223" s="32">
        <f>IF(AND(C249&gt;B223,C249&lt;=C223),C249,0)</f>
        <v>0</v>
      </c>
      <c r="O223" s="31">
        <v>0</v>
      </c>
      <c r="P223" s="29">
        <f>IF(N223&gt;0,IF(N223=B223,D223,IF(AND(N223&gt;B223,N223&lt;=C223),D222+(N223-B223)*((D223-D222)/(C223-B223)),0)),0)</f>
        <v>0</v>
      </c>
      <c r="Q223" s="32">
        <f>IF(AND(C237&gt;B223,C237&lt;=C223),C237,0)</f>
        <v>0</v>
      </c>
      <c r="R223" s="28">
        <f>IF(AND(C260&gt;B223,C260&lt;=C223),C260,0)</f>
        <v>0</v>
      </c>
      <c r="S223" s="31">
        <f>IF(Q223&gt;0,IF(Q223=B223,D223,IF(AND(Q223&gt;B223,Q223&lt;=C223),D222+(Q223-B223)*((D223-D222)/(C223-B223)),0)),0)</f>
        <v>0</v>
      </c>
      <c r="T223" s="29">
        <f>IF(R223&gt;0,IF(R223=B223,D223,IF(AND(R223&gt;B223,R223&lt;=C223),D222+(R223-B223)*((D223-D222)/(C223-B223)),0)),0)</f>
        <v>0</v>
      </c>
      <c r="U223" s="32">
        <f>IF(C267 = 1,IF(AND(C270&gt;B223,C270&lt;=C223),C270,0),0)</f>
        <v>70</v>
      </c>
      <c r="V223" s="28">
        <f>IF(C267 = 1,IF(AND((MIN(C249,C259)-C256)&gt;B223,(MIN(C249,C259)-C256)&lt;=C223),(MIN(C249,C259)-C256),0),0)</f>
        <v>0</v>
      </c>
      <c r="W223" s="31">
        <f>IF(U223&gt;0,IF(U223=B223,D223,IF(AND(U223&gt;B223,U223&lt;=C223),D222+(U223-B223)*((D223-D222)/(C223-B223)),0)),0)</f>
        <v>24</v>
      </c>
      <c r="X223" s="29">
        <f>IF(V223&gt;0,IF(V223=B223,D223,IF(AND(V223&gt;B223,V223&lt;=C223),D222+(V223-B223)*((D223-D222)/(C223-B223)),0)),0)</f>
        <v>0</v>
      </c>
      <c r="Y223" s="32">
        <f>IF(C267 = 1,IF(AND(C271&gt;B223,C271&lt;=C223),C271,0),0)</f>
        <v>0</v>
      </c>
      <c r="Z223" s="28">
        <f>IF(C267 = 1,IF(AND((MIN(C249,C259)-C256)&gt;B223,(MIN(C249,C259)-C256)&lt;=C223),(MIN(C249,C259)-C256),0),0)</f>
        <v>0</v>
      </c>
      <c r="AA223" s="31">
        <f>IF(Y223&gt;0,IF(Y223=B223,D223,IF(AND(Y223&gt;B223,Y223&lt;=C223),D222+(Y223-B223)*((D223-D222)/(C223-B223)),0)),0)</f>
        <v>0</v>
      </c>
      <c r="AB223" s="29">
        <f>IF(Z223&gt;0,IF(Z223=B223,D223,IF(AND(Z223&gt;B223,Z223&lt;=C223),D222+(Z223-B223)*((D223-D222)/(C223-B223)),0)),0)</f>
        <v>0</v>
      </c>
    </row>
    <row r="224" spans="1:28" ht="15.75" thickBot="1" x14ac:dyDescent="0.3">
      <c r="A224" s="33">
        <v>3</v>
      </c>
      <c r="B224" s="34">
        <v>75</v>
      </c>
      <c r="C224" s="34">
        <v>100</v>
      </c>
      <c r="D224" s="35">
        <v>30</v>
      </c>
      <c r="E224" s="36">
        <f>IF(AND(C237&gt;B224,C237&lt;=C224),C237,IF(C237&gt;C224,C237,0))</f>
        <v>80</v>
      </c>
      <c r="F224" s="37">
        <v>0</v>
      </c>
      <c r="G224" s="35">
        <f>IF(E224&gt;0,IF(E224=C224,D224,IF(AND(E224&gt;B224,E224&lt;C224),D223+(E224-B224)*((D224-D223)/(C224-B224)),IF(E224&gt;C224,D224,0))),0)</f>
        <v>26</v>
      </c>
      <c r="H224" s="38">
        <f>IF(AND(C246&gt;B224,C246&lt;=C224),C246,IF(C246&gt;C224,C246,0))</f>
        <v>80</v>
      </c>
      <c r="I224" s="37">
        <v>0</v>
      </c>
      <c r="J224" s="35">
        <f>IF(H224&gt;0,IF(H224=B224,D224,IF(AND(H224&gt;B224,H224&lt;=C224),D223+(H224-B224)*((D224-D223)/(C224-B224)),IF(H224&gt;C224,D224,0))),0)</f>
        <v>26</v>
      </c>
      <c r="K224" s="38">
        <f>IF(AND(C248&gt;B224,C248&lt;=C224),C248,IF(C248&gt;C224,C248,0))</f>
        <v>0</v>
      </c>
      <c r="L224" s="37">
        <v>0</v>
      </c>
      <c r="M224" s="35">
        <f>IF(K224&gt;0,IF(K224=B224,D224,IF(AND(K224&gt;B224,K224&lt;=C224),D223+(K224-B224)*((D224-D223)/(C224-B224)),IF(K224&gt;C224,D224,0))),0)</f>
        <v>0</v>
      </c>
      <c r="N224" s="38">
        <f>IF(AND(C249&gt;B224,C249&lt;=C224),C249,IF(C249&gt;C224,C249,0))</f>
        <v>100</v>
      </c>
      <c r="O224" s="37">
        <v>0</v>
      </c>
      <c r="P224" s="35">
        <f>IF(N224&gt;0,IF(N224=B224,D224,IF(AND(N224&gt;B224,N224&lt;=C224),D223+(N224-B224)*((D224-D223)/(C224-B224)),IF(N224&gt;C224,D224,0))),0)</f>
        <v>30</v>
      </c>
      <c r="Q224" s="38">
        <f>IF(AND(C237&gt;B224,C237&lt;=C224),C237,0)</f>
        <v>80</v>
      </c>
      <c r="R224" s="34">
        <f>IF(AND(MAX(C260,C267)&gt;B224,MAX(C260,C267)&lt;=C224),MAX(C260,C267),0)</f>
        <v>100</v>
      </c>
      <c r="S224" s="37">
        <f>IF(Q224&gt;0,IF(Q224=B224,D224,IF(AND(Q224&gt;B224,Q224&lt;=C224),D223+(Q224-B224)*((D224-D223)/(C224-B224)),IF(Q224&gt;C224,D224,0))),0)</f>
        <v>26</v>
      </c>
      <c r="T224" s="35">
        <f>IF(R224&gt;0,IF(R224=B224,D224,IF(AND(R224&gt;B224,R224&lt;=C224),D223+(R224-B224)*((D224-D223)/(C224-B224)),IF(R224&gt;C224,D224,0))),0)</f>
        <v>30</v>
      </c>
      <c r="U224" s="38">
        <f>IF(C267 = 1,IF(AND(C270&gt;B224,C270&lt;=C224),C270,0),0)</f>
        <v>0</v>
      </c>
      <c r="V224" s="34">
        <f>IF(C267 = 1,IF(AND((MIN(C249,C259)-C256)&gt;B224,(MIN(C249,C259)-C256)&lt;=C224),(MIN(C249,C259)-C256),0),0)</f>
        <v>80</v>
      </c>
      <c r="W224" s="37">
        <f>IF(U224&gt;0,IF(U224=B224,D224,IF(AND(U224&gt;B224,U224&lt;=C224),D223+(U224-B224)*((D224-D223)/(C224-B224)),IF(U224&gt;C224,D224,0))),0)</f>
        <v>0</v>
      </c>
      <c r="X224" s="35">
        <f>IF(V224&gt;0,IF(V224=B224,D224,IF(AND(V224&gt;B224,V224&lt;=C224),D223+(V224-B224)*((D224-D223)/(C224-B224)),IF(V224&gt;C224,D224,0))),0)</f>
        <v>26</v>
      </c>
      <c r="Y224" s="38">
        <f>IF(C267 = 1,IF(AND(C271&gt;B224,C271&lt;=C224),C271,0),0)</f>
        <v>100</v>
      </c>
      <c r="Z224" s="34">
        <f>IF(C267 = 1,IF(AND((MIN(C249,C259)-C256)&gt;B224,(MIN(C249,C259)-C256)&lt;=C224),(MIN(C249,C259)-C256),0),0)</f>
        <v>80</v>
      </c>
      <c r="AA224" s="37">
        <f>IF(Y224&gt;0,IF(Y224=B224,D224,IF(AND(Y224&gt;B224,Y224&lt;=C224),D223+(Y224-B224)*((D224-D223)/(C224-B224)),IF(Y224&gt;C224,D224,0))),0)</f>
        <v>30</v>
      </c>
      <c r="AB224" s="35">
        <f>IF(Z224&gt;0,IF(Z224=B224,D224,IF(AND(Z224&gt;B224,Z224&lt;=C224),D223+(Z224-B224)*((D224-D223)/(C224-B224)),IF(Z224&gt;C224,D224,0))),0)</f>
        <v>26</v>
      </c>
    </row>
    <row r="225" spans="1:47" ht="15" thickBot="1" x14ac:dyDescent="0.25">
      <c r="J225" s="39"/>
    </row>
    <row r="226" spans="1:47" ht="15.75" thickBot="1" x14ac:dyDescent="0.3">
      <c r="A226" s="9" t="s">
        <v>1</v>
      </c>
      <c r="B226" s="9"/>
      <c r="C226" s="10"/>
      <c r="D226" s="10"/>
      <c r="E226" s="10"/>
      <c r="F226" s="11"/>
      <c r="G226" s="40"/>
      <c r="H226" s="6" t="s">
        <v>19</v>
      </c>
      <c r="I226" s="7"/>
      <c r="J226" s="7"/>
      <c r="K226" s="7"/>
      <c r="L226" s="7"/>
      <c r="M226" s="8"/>
      <c r="O226" s="6" t="s">
        <v>20</v>
      </c>
      <c r="P226" s="7"/>
      <c r="Q226" s="7"/>
      <c r="R226" s="7"/>
      <c r="S226" s="7"/>
      <c r="T226" s="8"/>
      <c r="V226" s="6" t="s">
        <v>21</v>
      </c>
      <c r="W226" s="7"/>
      <c r="X226" s="7"/>
      <c r="Y226" s="7"/>
      <c r="Z226" s="7"/>
      <c r="AA226" s="8"/>
    </row>
    <row r="227" spans="1:47" ht="30.75" thickBot="1" x14ac:dyDescent="0.3">
      <c r="A227" s="18" t="s">
        <v>8</v>
      </c>
      <c r="B227" s="13" t="s">
        <v>9</v>
      </c>
      <c r="C227" s="13" t="s">
        <v>10</v>
      </c>
      <c r="D227" s="13" t="s">
        <v>15</v>
      </c>
      <c r="E227" s="13" t="s">
        <v>16</v>
      </c>
      <c r="F227" s="5" t="s">
        <v>22</v>
      </c>
      <c r="G227" s="40"/>
      <c r="H227" s="41" t="s">
        <v>8</v>
      </c>
      <c r="I227" s="16" t="s">
        <v>9</v>
      </c>
      <c r="J227" s="16" t="s">
        <v>10</v>
      </c>
      <c r="K227" s="16" t="s">
        <v>15</v>
      </c>
      <c r="L227" s="16" t="s">
        <v>16</v>
      </c>
      <c r="M227" s="17" t="s">
        <v>22</v>
      </c>
      <c r="O227" s="41" t="s">
        <v>8</v>
      </c>
      <c r="P227" s="16" t="s">
        <v>9</v>
      </c>
      <c r="Q227" s="16" t="s">
        <v>10</v>
      </c>
      <c r="R227" s="16" t="s">
        <v>15</v>
      </c>
      <c r="S227" s="16" t="s">
        <v>16</v>
      </c>
      <c r="T227" s="17" t="s">
        <v>22</v>
      </c>
      <c r="V227" s="41" t="s">
        <v>8</v>
      </c>
      <c r="W227" s="16" t="s">
        <v>9</v>
      </c>
      <c r="X227" s="16" t="s">
        <v>10</v>
      </c>
      <c r="Y227" s="16" t="s">
        <v>15</v>
      </c>
      <c r="Z227" s="16" t="s">
        <v>16</v>
      </c>
      <c r="AA227" s="17" t="s">
        <v>22</v>
      </c>
    </row>
    <row r="228" spans="1:47" ht="15" x14ac:dyDescent="0.25">
      <c r="A228" s="20">
        <v>1</v>
      </c>
      <c r="B228" s="21">
        <v>0</v>
      </c>
      <c r="C228" s="21">
        <f>IF(AND(C237&gt;B222,C237&lt;C222),C237,IF(C237&gt;=C222,C222,0))</f>
        <v>50</v>
      </c>
      <c r="D228" s="24">
        <f>MIN(D222,F222)</f>
        <v>20</v>
      </c>
      <c r="E228" s="24">
        <f>IF(AND(C237&gt;B222,C237&lt;C222),G222,IF(C237&gt;=C222,D222,0))</f>
        <v>20</v>
      </c>
      <c r="F228" s="22">
        <f>(C228-B228)*(D228+E228)/2</f>
        <v>1000</v>
      </c>
      <c r="G228" s="42"/>
      <c r="H228" s="20">
        <v>1</v>
      </c>
      <c r="I228" s="21">
        <v>0</v>
      </c>
      <c r="J228" s="21">
        <f>IF(AND(C246&gt;B222,C246&lt;C222),C246,IF(C246&gt;=C222,C222,0))</f>
        <v>50</v>
      </c>
      <c r="K228" s="24">
        <f>MIN(D222,I222)</f>
        <v>20</v>
      </c>
      <c r="L228" s="24">
        <f>IF(AND(C246&gt;B222,C246&lt;C222),J222,IF(C246&gt;=C222,D222,0))</f>
        <v>20</v>
      </c>
      <c r="M228" s="22">
        <f>(J228-I228)*(K228+L228)/2</f>
        <v>1000</v>
      </c>
      <c r="O228" s="43">
        <v>1</v>
      </c>
      <c r="P228" s="44">
        <v>0</v>
      </c>
      <c r="Q228" s="44">
        <f>IF(AND(C248&gt;B222,C248&lt;C222),C248,IF(C248&gt;=C222,C222,0))</f>
        <v>50</v>
      </c>
      <c r="R228" s="24">
        <f>MIN(D222,L222)</f>
        <v>20</v>
      </c>
      <c r="S228" s="24">
        <f>IF(AND(C248&gt;B222,C248&lt;C222),M222,IF(C248&gt;=C222,D222,0))</f>
        <v>20</v>
      </c>
      <c r="T228" s="22">
        <f>(Q228-P228)*(R228+S228)/2</f>
        <v>1000</v>
      </c>
      <c r="V228" s="43">
        <v>1</v>
      </c>
      <c r="W228" s="44">
        <v>0</v>
      </c>
      <c r="X228" s="44">
        <f>IF(AND(C249&gt;B222,C249&lt;C222),C249,IF(C249&gt;=C222,C222,0))</f>
        <v>50</v>
      </c>
      <c r="Y228" s="24">
        <f>MIN(D222,O222)</f>
        <v>20</v>
      </c>
      <c r="Z228" s="24">
        <f>IF(AND(C249&gt;B222,C249&lt;B222),P222,IF(C249&gt;=B222,D222,0))</f>
        <v>20</v>
      </c>
      <c r="AA228" s="22">
        <f>(X228-W228)*(Y228+Z228)/2</f>
        <v>1000</v>
      </c>
    </row>
    <row r="229" spans="1:47" ht="15" x14ac:dyDescent="0.25">
      <c r="A229" s="27">
        <v>2</v>
      </c>
      <c r="B229" s="28">
        <f>IF(C237&gt;B223,C228,0)</f>
        <v>50</v>
      </c>
      <c r="C229" s="28">
        <f>IF(AND(C237&gt;B223,C237&lt;C223),C237,IF(C237&gt;=C223,C223,0))</f>
        <v>75</v>
      </c>
      <c r="D229" s="31">
        <f>IF(B229&lt;&gt;0,E228,0)</f>
        <v>20</v>
      </c>
      <c r="E229" s="31">
        <f>IF(AND(C237&gt;B223,C237&lt;C223),G223,IF(C237&gt;=C223,D223,0))</f>
        <v>25</v>
      </c>
      <c r="F229" s="29">
        <f>(C229-B229)*(D229+E229)/2</f>
        <v>562.5</v>
      </c>
      <c r="G229" s="45"/>
      <c r="H229" s="27">
        <v>2</v>
      </c>
      <c r="I229" s="28">
        <f>IF(C246&gt;B223,J228,0)</f>
        <v>50</v>
      </c>
      <c r="J229" s="28">
        <f>IF(AND(C246&gt;B223,C246&lt;C223),C246,IF(C246&gt;=C223,C223,0))</f>
        <v>75</v>
      </c>
      <c r="K229" s="31">
        <f>IF(I229&lt;&gt;0,L228,0)</f>
        <v>20</v>
      </c>
      <c r="L229" s="31">
        <f>IF(AND(C246&gt;B223,C246&lt;C223),J223,IF(C246&gt;=C223,D223,0))</f>
        <v>25</v>
      </c>
      <c r="M229" s="29">
        <f>(J229-I229)*(K229+L229)/2</f>
        <v>562.5</v>
      </c>
      <c r="O229" s="46">
        <v>2</v>
      </c>
      <c r="P229" s="47">
        <f>IF(C248&gt;B223,Q228,0)</f>
        <v>50</v>
      </c>
      <c r="Q229" s="47">
        <f>IF(AND(C248&gt;B223,C248&lt;C223),C248,IF(C248&gt;=C223,C223,0))</f>
        <v>70</v>
      </c>
      <c r="R229" s="31">
        <f>IF(P229&lt;&gt;0,S228,0)</f>
        <v>20</v>
      </c>
      <c r="S229" s="31">
        <f>IF(AND(C248&gt;B223,C248&lt;C223),M223,IF(C248&gt;=C223,D223,0))</f>
        <v>24</v>
      </c>
      <c r="T229" s="29">
        <f>(Q229-P229)*(R229+S229)/2</f>
        <v>440</v>
      </c>
      <c r="V229" s="46">
        <v>2</v>
      </c>
      <c r="W229" s="47">
        <f>IF(C249&gt;B223,X228,0)</f>
        <v>50</v>
      </c>
      <c r="X229" s="47">
        <f>IF(AND(C249&gt;B223,C249&lt;C223),C249,IF(C249&gt;=C223,C223,0))</f>
        <v>75</v>
      </c>
      <c r="Y229" s="31">
        <f>IF(W229&lt;&gt;0,Z228,0)</f>
        <v>20</v>
      </c>
      <c r="Z229" s="31">
        <f>IF(AND(C249&gt;B223,C249&lt;C223),P223,IF(C249&gt;=C223,D223,0))</f>
        <v>25</v>
      </c>
      <c r="AA229" s="29">
        <f>(X229-W229)*(Y229+Z229)/2</f>
        <v>562.5</v>
      </c>
    </row>
    <row r="230" spans="1:47" ht="15" x14ac:dyDescent="0.25">
      <c r="A230" s="27">
        <v>3</v>
      </c>
      <c r="B230" s="28">
        <f>IF(C237&gt;B224,C229,0)</f>
        <v>75</v>
      </c>
      <c r="C230" s="28">
        <f>IF(AND(C237&gt;B224,C237&lt;C224),C237,IF(C237&gt;=C224,C224,0))</f>
        <v>80</v>
      </c>
      <c r="D230" s="31">
        <f>IF(B230&lt;&gt;0,E229,0)</f>
        <v>25</v>
      </c>
      <c r="E230" s="31">
        <f>IF(AND(C237&gt;B224,C237&lt;C224),G224,IF(C237&gt;=C224,D224,0))</f>
        <v>26</v>
      </c>
      <c r="F230" s="29">
        <f>(C230-B230)*(D230+E230)/2</f>
        <v>127.5</v>
      </c>
      <c r="G230" s="45"/>
      <c r="H230" s="27">
        <v>3</v>
      </c>
      <c r="I230" s="28">
        <f>IF(C246&gt;B224,J229,0)</f>
        <v>75</v>
      </c>
      <c r="J230" s="28">
        <f>IF(AND(C246&gt;B224,C246&lt;C224),C246,IF(C246&gt;=C224,C224,0))</f>
        <v>80</v>
      </c>
      <c r="K230" s="31">
        <f>IF(I230&lt;&gt;0,L229,0)</f>
        <v>25</v>
      </c>
      <c r="L230" s="31">
        <f>IF(AND(C246&gt;B224,C246&lt;C224),J224,IF(C246&gt;=C224,D224,0))</f>
        <v>26</v>
      </c>
      <c r="M230" s="29">
        <f>(J230-I230)*(K230+L230)/2</f>
        <v>127.5</v>
      </c>
      <c r="O230" s="46">
        <v>3</v>
      </c>
      <c r="P230" s="47">
        <f>IF(C248&gt;B224,Q229,0)</f>
        <v>0</v>
      </c>
      <c r="Q230" s="47">
        <f>IF(AND(C248&gt;B224,C248&lt;C224),C248,IF(C248&gt;=C224,C224,0))</f>
        <v>0</v>
      </c>
      <c r="R230" s="31">
        <f>IF(P230&lt;&gt;0,S229,0)</f>
        <v>0</v>
      </c>
      <c r="S230" s="31">
        <f>IF(AND(C248&gt;B224,C248&lt;C224),M224,IF(C248&gt;=C224,D224,0))</f>
        <v>0</v>
      </c>
      <c r="T230" s="29">
        <f>(Q230-P230)*(R230+S230)/2</f>
        <v>0</v>
      </c>
      <c r="V230" s="46">
        <v>3</v>
      </c>
      <c r="W230" s="47">
        <f>IF(C249&gt;B224,X229,0)</f>
        <v>75</v>
      </c>
      <c r="X230" s="47">
        <f>IF(AND(C249&gt;B224,C249&lt;C224),C249,IF(C249&gt;=C224,C224,0))</f>
        <v>100</v>
      </c>
      <c r="Y230" s="31">
        <f>IF(W230&lt;&gt;0,Z229,0)</f>
        <v>25</v>
      </c>
      <c r="Z230" s="31">
        <f>IF(AND(C249&gt;B224,C249&lt;C224),P224,IF(C249&gt;=C224,D224,0))</f>
        <v>30</v>
      </c>
      <c r="AA230" s="29">
        <f>(X230-W230)*(Y230+Z230)/2</f>
        <v>687.5</v>
      </c>
    </row>
    <row r="231" spans="1:47" ht="15" x14ac:dyDescent="0.25">
      <c r="A231" s="27">
        <v>4</v>
      </c>
      <c r="B231" s="28">
        <f>IF(C237&gt;C224,C230,0)</f>
        <v>0</v>
      </c>
      <c r="C231" s="28">
        <f>IF(C237&gt;C224,C237,0)</f>
        <v>0</v>
      </c>
      <c r="D231" s="31">
        <f>IF(B231&lt;&gt;0,E230,0)</f>
        <v>0</v>
      </c>
      <c r="E231" s="31">
        <f>IF(C237&gt;C224,D224,0)</f>
        <v>0</v>
      </c>
      <c r="F231" s="29">
        <f>(C231-B231)*(D231+E231)/2</f>
        <v>0</v>
      </c>
      <c r="G231" s="45"/>
      <c r="H231" s="27">
        <v>4</v>
      </c>
      <c r="I231" s="28">
        <f>IF(C246&gt;C224,J230,0)</f>
        <v>0</v>
      </c>
      <c r="J231" s="28">
        <f>IF(C246&gt;C224,C246,0)</f>
        <v>0</v>
      </c>
      <c r="K231" s="31">
        <f>IF(I231&lt;&gt;0,L230,0)</f>
        <v>0</v>
      </c>
      <c r="L231" s="31">
        <f>IF(J231&gt;0,IF(C246&gt;=C224,J224,IF(AND(C246&gt;B224,C246&lt;C224),J224,0)),0)</f>
        <v>0</v>
      </c>
      <c r="M231" s="29">
        <f>(J231-I231)*(K231+L231)/2</f>
        <v>0</v>
      </c>
      <c r="O231" s="46">
        <v>4</v>
      </c>
      <c r="P231" s="47">
        <f>IF(C248&gt;C224,Q230,0)</f>
        <v>0</v>
      </c>
      <c r="Q231" s="47">
        <f>IF(C248&gt;C224,C248,0)</f>
        <v>0</v>
      </c>
      <c r="R231" s="31">
        <f>IF(P231&lt;&gt;0,S230,0)</f>
        <v>0</v>
      </c>
      <c r="S231" s="31">
        <f>IF(Q231&gt;0,IF(C248&gt;=C224,J224,IF(AND(C248&gt;B224,C248&lt;C224),J224,0)),0)</f>
        <v>0</v>
      </c>
      <c r="T231" s="29">
        <f>(Q231-P231)*(R231+S231)/2</f>
        <v>0</v>
      </c>
      <c r="V231" s="46">
        <v>4</v>
      </c>
      <c r="W231" s="47">
        <f>IF(C249&gt;C224,X230,0)</f>
        <v>0</v>
      </c>
      <c r="X231" s="47">
        <f>IF(C249&gt;C224,C249,IF(AND(C249&gt;C224,C249&lt;C224),C249,0))</f>
        <v>0</v>
      </c>
      <c r="Y231" s="31">
        <f>IF(W231&lt;&gt;0,Z230,0)</f>
        <v>0</v>
      </c>
      <c r="Z231" s="31">
        <f>IF(X231&gt;0,IF(C249&gt;=C224,P224,IF(AND(C249&gt;B224,C249&lt;C224),P224,0)),0)</f>
        <v>0</v>
      </c>
      <c r="AA231" s="29">
        <f>(X231-W231)*(Y231+Z231)/2</f>
        <v>0</v>
      </c>
    </row>
    <row r="232" spans="1:47" ht="15" thickBot="1" x14ac:dyDescent="0.25">
      <c r="A232" s="38"/>
      <c r="B232" s="34"/>
      <c r="C232" s="34"/>
      <c r="D232" s="48"/>
      <c r="E232" s="48"/>
      <c r="F232" s="49">
        <f>SUM(F228:F231)</f>
        <v>1690</v>
      </c>
      <c r="G232" s="50"/>
      <c r="H232" s="38"/>
      <c r="I232" s="34"/>
      <c r="J232" s="34"/>
      <c r="K232" s="48"/>
      <c r="L232" s="48"/>
      <c r="M232" s="49">
        <f>SUM(M228:M231)</f>
        <v>1690</v>
      </c>
      <c r="O232" s="51"/>
      <c r="P232" s="52"/>
      <c r="Q232" s="52"/>
      <c r="R232" s="52"/>
      <c r="S232" s="52"/>
      <c r="T232" s="49">
        <f>SUM(T228:T231)</f>
        <v>1440</v>
      </c>
      <c r="V232" s="51"/>
      <c r="W232" s="52"/>
      <c r="X232" s="52"/>
      <c r="Y232" s="52"/>
      <c r="Z232" s="52"/>
      <c r="AA232" s="49">
        <f>SUM(AA228:AA231)</f>
        <v>2250</v>
      </c>
    </row>
    <row r="233" spans="1:47" ht="15" thickBot="1" x14ac:dyDescent="0.25">
      <c r="A233" s="28"/>
      <c r="B233" s="28"/>
      <c r="C233" s="28"/>
      <c r="D233" s="204"/>
      <c r="E233" s="204"/>
      <c r="F233" s="31"/>
      <c r="G233" s="123"/>
      <c r="H233" s="28"/>
      <c r="I233" s="28"/>
      <c r="J233" s="28"/>
      <c r="K233" s="204"/>
      <c r="L233" s="204"/>
      <c r="M233" s="31"/>
      <c r="O233" s="205"/>
      <c r="P233" s="205"/>
      <c r="Q233" s="205"/>
      <c r="R233" s="205"/>
      <c r="S233" s="205"/>
      <c r="T233" s="31"/>
      <c r="V233" s="205"/>
      <c r="W233" s="205"/>
      <c r="X233" s="205"/>
      <c r="Y233" s="205"/>
      <c r="Z233" s="205"/>
      <c r="AA233" s="31"/>
    </row>
    <row r="234" spans="1:47" ht="15" thickBot="1" x14ac:dyDescent="0.25">
      <c r="M234" s="221"/>
      <c r="N234" s="222"/>
      <c r="O234" s="222"/>
      <c r="P234" s="222"/>
      <c r="Q234" s="222"/>
      <c r="R234" s="222"/>
      <c r="S234" s="222"/>
      <c r="T234" s="222"/>
      <c r="U234" s="222"/>
      <c r="V234" s="222"/>
      <c r="W234" s="222"/>
      <c r="X234" s="222"/>
      <c r="Y234" s="222"/>
      <c r="Z234" s="222"/>
      <c r="AA234" s="217"/>
      <c r="AB234" s="246"/>
      <c r="AC234" s="247"/>
      <c r="AD234" s="247"/>
      <c r="AE234" s="247"/>
      <c r="AF234" s="247"/>
      <c r="AG234" s="247"/>
      <c r="AH234" s="247"/>
      <c r="AI234" s="247"/>
      <c r="AJ234" s="247"/>
      <c r="AK234" s="247"/>
      <c r="AL234" s="247"/>
      <c r="AM234" s="247"/>
      <c r="AN234" s="247"/>
      <c r="AO234" s="247"/>
      <c r="AP234" s="248"/>
    </row>
    <row r="235" spans="1:47" ht="15.75" thickBot="1" x14ac:dyDescent="0.3">
      <c r="A235" s="53" t="s">
        <v>23</v>
      </c>
      <c r="B235" s="54"/>
      <c r="C235" s="54"/>
      <c r="D235" s="54"/>
      <c r="E235" s="55"/>
      <c r="F235" s="57" t="s">
        <v>25</v>
      </c>
      <c r="G235" s="58"/>
      <c r="H235" s="58"/>
      <c r="I235" s="58"/>
      <c r="J235" s="57"/>
      <c r="K235" s="59"/>
      <c r="L235" s="174"/>
      <c r="M235" s="229"/>
      <c r="N235" s="57" t="s">
        <v>26</v>
      </c>
      <c r="O235" s="58"/>
      <c r="P235" s="58"/>
      <c r="Q235" s="58"/>
      <c r="R235" s="58"/>
      <c r="S235" s="59"/>
      <c r="T235" s="223"/>
      <c r="U235" s="57" t="s">
        <v>92</v>
      </c>
      <c r="V235" s="58"/>
      <c r="W235" s="58"/>
      <c r="X235" s="58"/>
      <c r="Y235" s="58"/>
      <c r="Z235" s="60"/>
      <c r="AA235" s="218"/>
      <c r="AB235" s="249"/>
      <c r="AC235" s="57" t="s">
        <v>27</v>
      </c>
      <c r="AD235" s="58"/>
      <c r="AE235" s="58"/>
      <c r="AF235" s="58"/>
      <c r="AG235" s="58"/>
      <c r="AH235" s="59"/>
      <c r="AI235" s="251"/>
      <c r="AJ235" s="57" t="s">
        <v>95</v>
      </c>
      <c r="AK235" s="58"/>
      <c r="AL235" s="58"/>
      <c r="AM235" s="58"/>
      <c r="AN235" s="58"/>
      <c r="AO235" s="60"/>
      <c r="AP235" s="259"/>
      <c r="AQ235" s="96"/>
      <c r="AR235" s="96"/>
      <c r="AS235" s="96"/>
      <c r="AT235" s="96"/>
      <c r="AU235" s="78"/>
    </row>
    <row r="236" spans="1:47" ht="15.75" thickBot="1" x14ac:dyDescent="0.3">
      <c r="A236" s="61" t="s">
        <v>28</v>
      </c>
      <c r="B236" s="62"/>
      <c r="C236" s="63"/>
      <c r="D236" s="63"/>
      <c r="E236" s="206"/>
      <c r="F236" s="57" t="s">
        <v>29</v>
      </c>
      <c r="G236" s="58"/>
      <c r="H236" s="58"/>
      <c r="I236" s="57"/>
      <c r="J236" s="58" t="s">
        <v>30</v>
      </c>
      <c r="K236" s="66"/>
      <c r="L236" s="67"/>
      <c r="M236" s="230"/>
      <c r="N236" s="68" t="s">
        <v>29</v>
      </c>
      <c r="O236" s="69"/>
      <c r="P236" s="69"/>
      <c r="Q236" s="68"/>
      <c r="R236" s="69" t="s">
        <v>30</v>
      </c>
      <c r="S236" s="70"/>
      <c r="T236" s="224"/>
      <c r="U236" s="57" t="s">
        <v>29</v>
      </c>
      <c r="V236" s="58"/>
      <c r="W236" s="58"/>
      <c r="X236" s="57"/>
      <c r="Y236" s="66" t="s">
        <v>30</v>
      </c>
      <c r="Z236" s="66"/>
      <c r="AA236" s="218"/>
      <c r="AB236" s="249"/>
      <c r="AC236" s="68" t="s">
        <v>29</v>
      </c>
      <c r="AD236" s="69"/>
      <c r="AE236" s="69"/>
      <c r="AF236" s="68"/>
      <c r="AG236" s="69" t="s">
        <v>30</v>
      </c>
      <c r="AH236" s="70"/>
      <c r="AI236" s="251"/>
      <c r="AJ236" s="57" t="s">
        <v>29</v>
      </c>
      <c r="AK236" s="58"/>
      <c r="AL236" s="58"/>
      <c r="AM236" s="57"/>
      <c r="AN236" s="66" t="s">
        <v>30</v>
      </c>
      <c r="AO236" s="66"/>
      <c r="AP236" s="260"/>
      <c r="AQ236" s="67"/>
      <c r="AR236" s="67"/>
      <c r="AS236" s="67"/>
      <c r="AT236" s="67"/>
      <c r="AU236" s="78"/>
    </row>
    <row r="237" spans="1:47" ht="15" x14ac:dyDescent="0.25">
      <c r="A237" s="71" t="s">
        <v>12</v>
      </c>
      <c r="B237" s="72"/>
      <c r="C237" s="73">
        <v>80</v>
      </c>
      <c r="D237" s="74"/>
      <c r="E237" s="157"/>
      <c r="F237" s="187" t="s">
        <v>32</v>
      </c>
      <c r="G237" s="80"/>
      <c r="H237" s="80"/>
      <c r="I237" s="80"/>
      <c r="J237" s="81">
        <f>C256*C257</f>
        <v>500</v>
      </c>
      <c r="K237" s="82"/>
      <c r="L237" s="96"/>
      <c r="M237" s="227"/>
      <c r="N237" s="179" t="s">
        <v>33</v>
      </c>
      <c r="O237" s="100"/>
      <c r="P237" s="100"/>
      <c r="Q237" s="100"/>
      <c r="R237" s="81">
        <f>(C264-C256)*C266</f>
        <v>300</v>
      </c>
      <c r="S237" s="82"/>
      <c r="T237" s="277"/>
      <c r="U237" s="187"/>
      <c r="V237" s="80"/>
      <c r="W237" s="80"/>
      <c r="X237" s="80"/>
      <c r="Y237" s="80"/>
      <c r="Z237" s="84"/>
      <c r="AA237" s="219"/>
      <c r="AB237" s="249"/>
      <c r="AC237" s="187" t="s">
        <v>33</v>
      </c>
      <c r="AD237" s="278"/>
      <c r="AE237" s="278"/>
      <c r="AF237" s="278"/>
      <c r="AG237" s="81">
        <f>(C265-C256)*C266</f>
        <v>0</v>
      </c>
      <c r="AH237" s="82"/>
      <c r="AI237" s="251"/>
      <c r="AJ237" s="187"/>
      <c r="AK237" s="80"/>
      <c r="AL237" s="80"/>
      <c r="AM237" s="80"/>
      <c r="AN237" s="80"/>
      <c r="AO237" s="84"/>
      <c r="AP237" s="261"/>
      <c r="AQ237" s="176"/>
      <c r="AR237" s="176"/>
      <c r="AS237" s="176"/>
      <c r="AT237" s="144"/>
      <c r="AU237" s="78"/>
    </row>
    <row r="238" spans="1:47" ht="15" x14ac:dyDescent="0.25">
      <c r="A238" s="85" t="s">
        <v>34</v>
      </c>
      <c r="B238" s="86"/>
      <c r="C238" s="87">
        <v>45</v>
      </c>
      <c r="D238" s="88"/>
      <c r="E238" s="207"/>
      <c r="F238" s="183"/>
      <c r="G238" s="93"/>
      <c r="H238" s="93"/>
      <c r="I238" s="93"/>
      <c r="J238" s="94"/>
      <c r="K238" s="95"/>
      <c r="L238" s="96"/>
      <c r="M238" s="227"/>
      <c r="N238" s="183"/>
      <c r="O238" s="93"/>
      <c r="P238" s="93"/>
      <c r="Q238" s="93"/>
      <c r="R238" s="94"/>
      <c r="S238" s="95"/>
      <c r="T238" s="214"/>
      <c r="U238" s="179" t="s">
        <v>35</v>
      </c>
      <c r="V238" s="100"/>
      <c r="W238" s="100"/>
      <c r="X238" s="100"/>
      <c r="Y238" s="147">
        <f>R251</f>
        <v>3600</v>
      </c>
      <c r="Z238" s="97"/>
      <c r="AA238" s="219"/>
      <c r="AB238" s="249"/>
      <c r="AC238" s="92"/>
      <c r="AD238" s="93"/>
      <c r="AE238" s="93"/>
      <c r="AF238" s="93"/>
      <c r="AG238" s="94"/>
      <c r="AH238" s="95"/>
      <c r="AI238" s="251"/>
      <c r="AJ238" s="179" t="s">
        <v>35</v>
      </c>
      <c r="AK238" s="100"/>
      <c r="AL238" s="100"/>
      <c r="AM238" s="100"/>
      <c r="AN238" s="147">
        <f>AG251</f>
        <v>3600</v>
      </c>
      <c r="AO238" s="97"/>
      <c r="AP238" s="262"/>
      <c r="AQ238" s="67"/>
      <c r="AR238" s="67"/>
      <c r="AS238" s="67"/>
      <c r="AT238" s="144"/>
      <c r="AU238" s="78"/>
    </row>
    <row r="239" spans="1:47" ht="15" x14ac:dyDescent="0.25">
      <c r="A239" s="85" t="s">
        <v>36</v>
      </c>
      <c r="B239" s="86"/>
      <c r="C239" s="87">
        <v>0</v>
      </c>
      <c r="D239" s="88"/>
      <c r="E239" s="207"/>
      <c r="F239" s="179" t="s">
        <v>37</v>
      </c>
      <c r="G239" s="100"/>
      <c r="H239" s="100"/>
      <c r="I239" s="100"/>
      <c r="J239" s="94">
        <f>IF(C258 = 1,MAX(MAX(R222:R224)-MAX(Q222:Q224),0)* MAX((C238- (MAX(S222:S224)+MAX(T222:T224))/2),0),0)</f>
        <v>340</v>
      </c>
      <c r="K239" s="95"/>
      <c r="L239" s="96"/>
      <c r="M239" s="227"/>
      <c r="N239" s="179" t="s">
        <v>38</v>
      </c>
      <c r="O239" s="100"/>
      <c r="P239" s="100"/>
      <c r="Q239" s="100"/>
      <c r="R239" s="94">
        <f>IF(C267 = 1,MAX(MAX(V222:V224)-MAX(U222:U224),0)* MAX((C247- (MAX(W222:W224)+MAX(X222:X224))/2),0),0)</f>
        <v>220</v>
      </c>
      <c r="S239" s="95"/>
      <c r="T239" s="214"/>
      <c r="U239" s="179"/>
      <c r="V239" s="100"/>
      <c r="W239" s="100"/>
      <c r="X239" s="100"/>
      <c r="Y239" s="173"/>
      <c r="Z239" s="97"/>
      <c r="AA239" s="219"/>
      <c r="AB239" s="249"/>
      <c r="AC239" s="92" t="s">
        <v>38</v>
      </c>
      <c r="AD239" s="93"/>
      <c r="AE239" s="93"/>
      <c r="AF239" s="93"/>
      <c r="AG239" s="94">
        <f>IF(C267 = 1,MAX(MAX(Z222:Z224)-MAX(Y222:Y224),0)* MAX((C247- (MAX(AA222:AA224)+MAX(AB222:AB224))/2),0),0)</f>
        <v>0</v>
      </c>
      <c r="AH239" s="95"/>
      <c r="AI239" s="251"/>
      <c r="AJ239" s="179"/>
      <c r="AK239" s="100"/>
      <c r="AL239" s="100"/>
      <c r="AM239" s="100"/>
      <c r="AN239" s="173"/>
      <c r="AO239" s="97"/>
      <c r="AP239" s="261"/>
      <c r="AQ239" s="176"/>
      <c r="AR239" s="176"/>
      <c r="AS239" s="176"/>
      <c r="AT239" s="144"/>
      <c r="AU239" s="78"/>
    </row>
    <row r="240" spans="1:47" ht="15" x14ac:dyDescent="0.25">
      <c r="A240" s="85" t="s">
        <v>39</v>
      </c>
      <c r="B240" s="86"/>
      <c r="C240" s="87">
        <v>0</v>
      </c>
      <c r="D240" s="88"/>
      <c r="E240" s="207"/>
      <c r="F240" s="185"/>
      <c r="G240" s="93"/>
      <c r="H240" s="93"/>
      <c r="I240" s="93"/>
      <c r="J240" s="94"/>
      <c r="K240" s="95"/>
      <c r="L240" s="96"/>
      <c r="M240" s="227"/>
      <c r="N240" s="179" t="s">
        <v>98</v>
      </c>
      <c r="O240" s="100"/>
      <c r="P240" s="100"/>
      <c r="Q240" s="100"/>
      <c r="R240" s="94">
        <f>IF(C272=1,MAX(MIN(R237*-1,(J239+R239)-(J237+R237)-MAX((J239-J237),0)),0),0)</f>
        <v>0</v>
      </c>
      <c r="S240" s="95"/>
      <c r="T240" s="214"/>
      <c r="U240" s="179" t="s">
        <v>41</v>
      </c>
      <c r="V240" s="100"/>
      <c r="W240" s="100"/>
      <c r="X240" s="100"/>
      <c r="Y240" s="147">
        <f>R255</f>
        <v>-470</v>
      </c>
      <c r="Z240" s="97"/>
      <c r="AA240" s="219"/>
      <c r="AB240" s="249"/>
      <c r="AC240" s="179" t="s">
        <v>98</v>
      </c>
      <c r="AD240" s="93"/>
      <c r="AE240" s="93"/>
      <c r="AF240" s="93"/>
      <c r="AG240" s="94">
        <f>R240</f>
        <v>0</v>
      </c>
      <c r="AH240" s="95"/>
      <c r="AI240" s="251"/>
      <c r="AJ240" s="179" t="s">
        <v>41</v>
      </c>
      <c r="AK240" s="100"/>
      <c r="AL240" s="100"/>
      <c r="AM240" s="100"/>
      <c r="AN240" s="147">
        <f>AG255</f>
        <v>0</v>
      </c>
      <c r="AO240" s="97"/>
      <c r="AP240" s="260"/>
      <c r="AQ240" s="67"/>
      <c r="AR240" s="67"/>
      <c r="AS240" s="67"/>
      <c r="AT240" s="144"/>
      <c r="AU240" s="78"/>
    </row>
    <row r="241" spans="1:54" ht="15" x14ac:dyDescent="0.25">
      <c r="A241" s="105" t="s">
        <v>42</v>
      </c>
      <c r="B241" s="106"/>
      <c r="C241" s="107">
        <v>50</v>
      </c>
      <c r="D241" s="108"/>
      <c r="E241" s="157"/>
      <c r="F241" s="183"/>
      <c r="G241" s="100"/>
      <c r="H241" s="100"/>
      <c r="I241" s="100"/>
      <c r="J241" s="94"/>
      <c r="K241" s="95"/>
      <c r="L241" s="96"/>
      <c r="M241" s="227"/>
      <c r="N241" s="179" t="s">
        <v>91</v>
      </c>
      <c r="O241" s="100"/>
      <c r="P241" s="100"/>
      <c r="Q241" s="100"/>
      <c r="R241" s="94">
        <f>IF(AND(C264&lt;C256,C272=0),MAX(MIN(R255-(R258-J253),J239),0),0)+IF(AND(C264&lt;C256,C272=0),MAX(MIN((J237+R237)*-1,(R255-(R258-J253))-J239),0),0)</f>
        <v>0</v>
      </c>
      <c r="S241" s="95"/>
      <c r="T241" s="277"/>
      <c r="U241" s="179"/>
      <c r="V241" s="100"/>
      <c r="W241" s="100"/>
      <c r="X241" s="100"/>
      <c r="Y241" s="173"/>
      <c r="Z241" s="97"/>
      <c r="AA241" s="219"/>
      <c r="AB241" s="249"/>
      <c r="AC241" s="92" t="s">
        <v>94</v>
      </c>
      <c r="AD241" s="93"/>
      <c r="AE241" s="93"/>
      <c r="AF241" s="93"/>
      <c r="AG241" s="94">
        <f>R241</f>
        <v>0</v>
      </c>
      <c r="AH241" s="95"/>
      <c r="AI241" s="251"/>
      <c r="AJ241" s="179"/>
      <c r="AK241" s="100"/>
      <c r="AL241" s="100"/>
      <c r="AM241" s="100"/>
      <c r="AN241" s="173"/>
      <c r="AO241" s="97"/>
      <c r="AP241" s="261"/>
      <c r="AQ241" s="176"/>
      <c r="AR241" s="176"/>
      <c r="AS241" s="176"/>
      <c r="AT241" s="144"/>
      <c r="AU241" s="78"/>
    </row>
    <row r="242" spans="1:54" ht="15.75" thickBot="1" x14ac:dyDescent="0.3">
      <c r="A242" s="109" t="s">
        <v>44</v>
      </c>
      <c r="B242" s="110"/>
      <c r="C242" s="111">
        <v>100</v>
      </c>
      <c r="D242" s="112"/>
      <c r="E242" s="157"/>
      <c r="F242" s="186"/>
      <c r="G242" s="93"/>
      <c r="H242" s="93"/>
      <c r="I242" s="93"/>
      <c r="J242" s="94"/>
      <c r="K242" s="95"/>
      <c r="L242" s="96"/>
      <c r="M242" s="227"/>
      <c r="N242" s="179" t="s">
        <v>107</v>
      </c>
      <c r="O242" s="100"/>
      <c r="P242" s="100"/>
      <c r="Q242" s="100"/>
      <c r="R242" s="94">
        <f>MAX(J239-R240+R239-J237-R237-R241,0)</f>
        <v>0</v>
      </c>
      <c r="S242" s="95"/>
      <c r="T242" s="214"/>
      <c r="U242" s="179" t="s">
        <v>46</v>
      </c>
      <c r="V242" s="100"/>
      <c r="W242" s="100"/>
      <c r="X242" s="100"/>
      <c r="Y242" s="147">
        <f>R245</f>
        <v>800</v>
      </c>
      <c r="Z242" s="113"/>
      <c r="AA242" s="220"/>
      <c r="AB242" s="249"/>
      <c r="AC242" s="92" t="s">
        <v>45</v>
      </c>
      <c r="AD242" s="93"/>
      <c r="AE242" s="93"/>
      <c r="AF242" s="93"/>
      <c r="AG242" s="94">
        <f>MAX(J239-AG240+AG239-(J237+AG237)-AG241,0)</f>
        <v>0</v>
      </c>
      <c r="AH242" s="95"/>
      <c r="AI242" s="251"/>
      <c r="AJ242" s="179" t="s">
        <v>46</v>
      </c>
      <c r="AK242" s="100"/>
      <c r="AL242" s="100"/>
      <c r="AM242" s="100"/>
      <c r="AN242" s="147">
        <f>AG245</f>
        <v>500</v>
      </c>
      <c r="AO242" s="113"/>
      <c r="AP242" s="262"/>
      <c r="AQ242" s="67"/>
      <c r="AR242" s="67"/>
      <c r="AS242" s="67"/>
      <c r="AT242" s="177"/>
      <c r="AU242" s="78"/>
    </row>
    <row r="243" spans="1:54" ht="15" x14ac:dyDescent="0.25">
      <c r="C243" s="103"/>
      <c r="D243" s="103"/>
      <c r="E243" s="208"/>
      <c r="F243" s="183"/>
      <c r="G243" s="100"/>
      <c r="H243" s="100"/>
      <c r="I243" s="100"/>
      <c r="J243" s="94"/>
      <c r="K243" s="95"/>
      <c r="L243" s="96"/>
      <c r="M243" s="231"/>
      <c r="N243" s="183"/>
      <c r="O243" s="100"/>
      <c r="P243" s="100"/>
      <c r="Q243" s="100"/>
      <c r="R243" s="94"/>
      <c r="S243" s="95"/>
      <c r="T243" s="214"/>
      <c r="U243" s="179"/>
      <c r="V243" s="100"/>
      <c r="W243" s="100"/>
      <c r="X243" s="100"/>
      <c r="Y243" s="100"/>
      <c r="Z243" s="97"/>
      <c r="AA243" s="219"/>
      <c r="AB243" s="249"/>
      <c r="AC243" s="92"/>
      <c r="AD243" s="93"/>
      <c r="AE243" s="93"/>
      <c r="AF243" s="93"/>
      <c r="AG243" s="94"/>
      <c r="AH243" s="95"/>
      <c r="AI243" s="251"/>
      <c r="AJ243" s="179"/>
      <c r="AK243" s="100"/>
      <c r="AL243" s="100"/>
      <c r="AM243" s="100"/>
      <c r="AN243" s="100"/>
      <c r="AO243" s="97"/>
      <c r="AP243" s="261"/>
      <c r="AQ243" s="176"/>
      <c r="AR243" s="176"/>
      <c r="AS243" s="176"/>
      <c r="AT243" s="144"/>
      <c r="AU243" s="78"/>
    </row>
    <row r="244" spans="1:54" ht="15.75" thickBot="1" x14ac:dyDescent="0.3">
      <c r="A244" s="53" t="s">
        <v>23</v>
      </c>
      <c r="B244" s="54"/>
      <c r="C244" s="54"/>
      <c r="D244" s="54"/>
      <c r="E244" s="55"/>
      <c r="F244" s="186"/>
      <c r="G244" s="93"/>
      <c r="H244" s="93"/>
      <c r="I244" s="93"/>
      <c r="J244" s="94"/>
      <c r="K244" s="95"/>
      <c r="L244" s="96"/>
      <c r="M244" s="231"/>
      <c r="N244" s="186"/>
      <c r="O244" s="93"/>
      <c r="P244" s="93"/>
      <c r="Q244" s="93"/>
      <c r="R244" s="94"/>
      <c r="S244" s="95"/>
      <c r="T244" s="214"/>
      <c r="U244" s="104"/>
      <c r="V244" s="93"/>
      <c r="W244" s="93"/>
      <c r="X244" s="93"/>
      <c r="Y244" s="93"/>
      <c r="Z244" s="97"/>
      <c r="AA244" s="219"/>
      <c r="AB244" s="249"/>
      <c r="AC244" s="92"/>
      <c r="AD244" s="93"/>
      <c r="AE244" s="93"/>
      <c r="AF244" s="93"/>
      <c r="AG244" s="94"/>
      <c r="AH244" s="95"/>
      <c r="AI244" s="251"/>
      <c r="AJ244" s="104"/>
      <c r="AK244" s="93"/>
      <c r="AL244" s="93"/>
      <c r="AM244" s="93"/>
      <c r="AN244" s="93"/>
      <c r="AO244" s="97"/>
      <c r="AP244" s="262"/>
      <c r="AQ244" s="67"/>
      <c r="AR244" s="67"/>
      <c r="AS244" s="67"/>
      <c r="AT244" s="144"/>
      <c r="AU244" s="78"/>
    </row>
    <row r="245" spans="1:54" ht="15.75" thickBot="1" x14ac:dyDescent="0.3">
      <c r="A245" s="61" t="s">
        <v>48</v>
      </c>
      <c r="B245" s="116"/>
      <c r="C245" s="117"/>
      <c r="D245" s="117"/>
      <c r="E245" s="209"/>
      <c r="F245" s="179" t="s">
        <v>50</v>
      </c>
      <c r="G245" s="100"/>
      <c r="H245" s="100"/>
      <c r="I245" s="100"/>
      <c r="J245" s="120">
        <f>MAX(J237-J239)</f>
        <v>160</v>
      </c>
      <c r="K245" s="121"/>
      <c r="L245" s="96"/>
      <c r="M245" s="231"/>
      <c r="N245" s="179" t="s">
        <v>51</v>
      </c>
      <c r="O245" s="100"/>
      <c r="P245" s="100"/>
      <c r="Q245" s="100"/>
      <c r="R245" s="120">
        <f>J237+R237+R242</f>
        <v>800</v>
      </c>
      <c r="S245" s="121"/>
      <c r="T245" s="214"/>
      <c r="U245" s="179" t="s">
        <v>52</v>
      </c>
      <c r="V245" s="100"/>
      <c r="W245" s="100"/>
      <c r="X245" s="100"/>
      <c r="Y245" s="172">
        <f>Y238+Y240+Y242</f>
        <v>3930</v>
      </c>
      <c r="Z245" s="122"/>
      <c r="AA245" s="219"/>
      <c r="AB245" s="249"/>
      <c r="AC245" s="92" t="s">
        <v>51</v>
      </c>
      <c r="AD245" s="93"/>
      <c r="AE245" s="93"/>
      <c r="AF245" s="93"/>
      <c r="AG245" s="120">
        <f>J237+AG237+AG242</f>
        <v>500</v>
      </c>
      <c r="AH245" s="121"/>
      <c r="AI245" s="251"/>
      <c r="AJ245" s="179" t="s">
        <v>52</v>
      </c>
      <c r="AK245" s="100"/>
      <c r="AL245" s="100"/>
      <c r="AM245" s="100"/>
      <c r="AN245" s="172">
        <f>AN238+AN240+AN242</f>
        <v>4100</v>
      </c>
      <c r="AO245" s="122"/>
      <c r="AP245" s="262"/>
      <c r="AQ245" s="67"/>
      <c r="AR245" s="67"/>
      <c r="AS245" s="67"/>
      <c r="AT245" s="144"/>
      <c r="AU245" s="78"/>
    </row>
    <row r="246" spans="1:54" ht="16.5" thickTop="1" thickBot="1" x14ac:dyDescent="0.3">
      <c r="A246" s="89" t="s">
        <v>53</v>
      </c>
      <c r="B246" s="123"/>
      <c r="C246" s="124">
        <v>80</v>
      </c>
      <c r="D246" s="45"/>
      <c r="E246" s="157"/>
      <c r="F246" s="68" t="str">
        <f>" "</f>
        <v xml:space="preserve"> </v>
      </c>
      <c r="G246" s="69"/>
      <c r="H246" s="69"/>
      <c r="I246" s="69"/>
      <c r="J246" s="128"/>
      <c r="K246" s="129"/>
      <c r="L246" s="96"/>
      <c r="M246" s="227"/>
      <c r="N246" s="276" t="s">
        <v>54</v>
      </c>
      <c r="O246" s="283"/>
      <c r="P246" s="283"/>
      <c r="Q246" s="283"/>
      <c r="R246" s="128">
        <f>MAX(J237+R237+R241+R240-J239-R239,0)</f>
        <v>240</v>
      </c>
      <c r="S246" s="129"/>
      <c r="T246" s="214"/>
      <c r="U246" s="68" t="str">
        <f>" "</f>
        <v xml:space="preserve"> </v>
      </c>
      <c r="V246" s="69"/>
      <c r="W246" s="69"/>
      <c r="X246" s="69"/>
      <c r="Y246" s="69"/>
      <c r="Z246" s="130"/>
      <c r="AA246" s="219"/>
      <c r="AB246" s="249"/>
      <c r="AC246" s="92" t="s">
        <v>54</v>
      </c>
      <c r="AD246" s="93"/>
      <c r="AE246" s="93"/>
      <c r="AF246" s="93"/>
      <c r="AG246" s="128">
        <f>MAX(J237+AG237+AG240+AG241-J239-AG239,0)</f>
        <v>160</v>
      </c>
      <c r="AH246" s="129"/>
      <c r="AI246" s="251"/>
      <c r="AJ246" s="68" t="str">
        <f>" "</f>
        <v xml:space="preserve"> </v>
      </c>
      <c r="AK246" s="69"/>
      <c r="AL246" s="69"/>
      <c r="AM246" s="69"/>
      <c r="AN246" s="69"/>
      <c r="AO246" s="130"/>
      <c r="AP246" s="263"/>
      <c r="AQ246" s="176"/>
      <c r="AR246" s="176"/>
      <c r="AS246" s="176"/>
      <c r="AT246" s="144"/>
      <c r="AU246" s="78"/>
    </row>
    <row r="247" spans="1:54" ht="15.75" thickBot="1" x14ac:dyDescent="0.3">
      <c r="A247" s="27" t="s">
        <v>34</v>
      </c>
      <c r="B247" s="131"/>
      <c r="C247" s="31">
        <v>47</v>
      </c>
      <c r="D247" s="132"/>
      <c r="E247" s="207"/>
      <c r="F247" s="146"/>
      <c r="G247" s="146"/>
      <c r="H247" s="146"/>
      <c r="I247" s="146"/>
      <c r="J247" s="31"/>
      <c r="K247" s="171"/>
      <c r="L247" s="96"/>
      <c r="M247" s="227"/>
      <c r="N247" s="211"/>
      <c r="O247" s="211"/>
      <c r="P247" s="211"/>
      <c r="Q247" s="211"/>
      <c r="R247" s="228"/>
      <c r="S247" s="211"/>
      <c r="T247" s="211"/>
      <c r="U247" s="211"/>
      <c r="V247" s="211"/>
      <c r="W247" s="211"/>
      <c r="X247" s="211"/>
      <c r="Y247" s="211"/>
      <c r="Z247" s="211"/>
      <c r="AA247" s="212"/>
      <c r="AB247" s="249"/>
      <c r="AC247" s="251"/>
      <c r="AD247" s="251"/>
      <c r="AE247" s="251"/>
      <c r="AF247" s="251"/>
      <c r="AG247" s="251"/>
      <c r="AH247" s="251"/>
      <c r="AI247" s="251"/>
      <c r="AJ247" s="251"/>
      <c r="AK247" s="251"/>
      <c r="AL247" s="251"/>
      <c r="AM247" s="251"/>
      <c r="AN247" s="251"/>
      <c r="AO247" s="251"/>
      <c r="AP247" s="252"/>
      <c r="AW247" s="170"/>
      <c r="AX247" s="170"/>
      <c r="AY247" s="170"/>
      <c r="AZ247" s="170"/>
      <c r="BA247" s="31"/>
      <c r="BB247" s="78"/>
    </row>
    <row r="248" spans="1:54" ht="15.75" thickBot="1" x14ac:dyDescent="0.3">
      <c r="A248" s="167" t="s">
        <v>55</v>
      </c>
      <c r="B248" s="123"/>
      <c r="C248" s="124">
        <f>IF(C267=1,MIN(C249,C269)-C264,C249)</f>
        <v>70</v>
      </c>
      <c r="D248" s="45"/>
      <c r="E248" s="157"/>
      <c r="L248" s="55"/>
      <c r="M248" s="232"/>
      <c r="N248" s="243" t="s">
        <v>56</v>
      </c>
      <c r="O248" s="244"/>
      <c r="P248" s="244"/>
      <c r="Q248" s="244"/>
      <c r="R248" s="244"/>
      <c r="S248" s="245"/>
      <c r="T248" s="211"/>
      <c r="U248" s="226"/>
      <c r="V248" s="226"/>
      <c r="W248" s="211"/>
      <c r="X248" s="211"/>
      <c r="Y248" s="211"/>
      <c r="Z248" s="211"/>
      <c r="AA248" s="212"/>
      <c r="AB248" s="250"/>
      <c r="AC248" s="243" t="s">
        <v>57</v>
      </c>
      <c r="AD248" s="244"/>
      <c r="AE248" s="244"/>
      <c r="AF248" s="244"/>
      <c r="AG248" s="268"/>
      <c r="AH248" s="40"/>
      <c r="AI248" s="253"/>
      <c r="AJ248" s="254"/>
      <c r="AK248" s="254"/>
      <c r="AL248" s="251"/>
      <c r="AM248" s="251"/>
      <c r="AN248" s="251"/>
      <c r="AO248" s="251"/>
      <c r="AP248" s="252"/>
      <c r="AW248" s="146"/>
      <c r="AX248" s="146"/>
      <c r="AY248" s="146"/>
      <c r="AZ248" s="146"/>
      <c r="BA248" s="31"/>
      <c r="BB248" s="78"/>
    </row>
    <row r="249" spans="1:54" ht="15.75" thickBot="1" x14ac:dyDescent="0.3">
      <c r="A249" s="167" t="s">
        <v>58</v>
      </c>
      <c r="B249" s="123"/>
      <c r="C249" s="124">
        <v>100</v>
      </c>
      <c r="D249" s="45"/>
      <c r="E249" s="157"/>
      <c r="F249" s="9" t="s">
        <v>24</v>
      </c>
      <c r="G249" s="10"/>
      <c r="H249" s="10"/>
      <c r="I249" s="10"/>
      <c r="J249" s="9"/>
      <c r="K249" s="56"/>
      <c r="L249" s="174"/>
      <c r="M249" s="233"/>
      <c r="N249" s="9" t="s">
        <v>59</v>
      </c>
      <c r="O249" s="10"/>
      <c r="P249" s="10"/>
      <c r="Q249" s="10"/>
      <c r="R249" s="11"/>
      <c r="S249" s="11"/>
      <c r="T249" s="211"/>
      <c r="U249" s="57" t="s">
        <v>93</v>
      </c>
      <c r="V249" s="58"/>
      <c r="W249" s="58"/>
      <c r="X249" s="58"/>
      <c r="Y249" s="57"/>
      <c r="Z249" s="59"/>
      <c r="AA249" s="218"/>
      <c r="AB249" s="264"/>
      <c r="AC249" s="9" t="s">
        <v>60</v>
      </c>
      <c r="AD249" s="10"/>
      <c r="AE249" s="10"/>
      <c r="AF249" s="10"/>
      <c r="AG249" s="11"/>
      <c r="AH249" s="11"/>
      <c r="AI249" s="253"/>
      <c r="AJ249" s="57" t="s">
        <v>96</v>
      </c>
      <c r="AK249" s="58"/>
      <c r="AL249" s="58"/>
      <c r="AM249" s="58"/>
      <c r="AN249" s="57"/>
      <c r="AO249" s="59"/>
      <c r="AP249" s="252"/>
    </row>
    <row r="250" spans="1:54" ht="15.75" thickBot="1" x14ac:dyDescent="0.3">
      <c r="A250" s="27" t="s">
        <v>36</v>
      </c>
      <c r="B250" s="28"/>
      <c r="C250" s="31">
        <v>0</v>
      </c>
      <c r="D250" s="132"/>
      <c r="E250" s="207"/>
      <c r="F250" s="9" t="s">
        <v>29</v>
      </c>
      <c r="G250" s="10"/>
      <c r="H250" s="10"/>
      <c r="I250" s="9"/>
      <c r="J250" s="64" t="s">
        <v>30</v>
      </c>
      <c r="K250" s="65"/>
      <c r="L250" s="67"/>
      <c r="M250" s="227"/>
      <c r="N250" s="125" t="s">
        <v>29</v>
      </c>
      <c r="O250" s="126"/>
      <c r="P250" s="9"/>
      <c r="Q250" s="10"/>
      <c r="R250" s="65" t="s">
        <v>30</v>
      </c>
      <c r="S250" s="65"/>
      <c r="T250" s="211"/>
      <c r="U250" s="57" t="s">
        <v>29</v>
      </c>
      <c r="V250" s="58"/>
      <c r="W250" s="58"/>
      <c r="X250" s="57"/>
      <c r="Y250" s="58" t="s">
        <v>30</v>
      </c>
      <c r="Z250" s="66"/>
      <c r="AA250" s="218"/>
      <c r="AB250" s="264"/>
      <c r="AC250" s="125" t="s">
        <v>29</v>
      </c>
      <c r="AD250" s="126"/>
      <c r="AE250" s="9"/>
      <c r="AF250" s="10"/>
      <c r="AG250" s="65" t="s">
        <v>30</v>
      </c>
      <c r="AH250" s="65"/>
      <c r="AI250" s="253"/>
      <c r="AJ250" s="57" t="s">
        <v>29</v>
      </c>
      <c r="AK250" s="58"/>
      <c r="AL250" s="58"/>
      <c r="AM250" s="57"/>
      <c r="AN250" s="58" t="s">
        <v>30</v>
      </c>
      <c r="AO250" s="66"/>
      <c r="AP250" s="252"/>
    </row>
    <row r="251" spans="1:54" ht="15" x14ac:dyDescent="0.25">
      <c r="A251" s="133" t="s">
        <v>39</v>
      </c>
      <c r="B251" s="28"/>
      <c r="C251" s="31">
        <v>0</v>
      </c>
      <c r="D251" s="132"/>
      <c r="E251" s="207"/>
      <c r="F251" s="75" t="s">
        <v>31</v>
      </c>
      <c r="G251" s="76"/>
      <c r="H251" s="76"/>
      <c r="I251" s="76"/>
      <c r="J251" s="24">
        <f>C237*C238</f>
        <v>3600</v>
      </c>
      <c r="K251" s="77"/>
      <c r="L251" s="96"/>
      <c r="M251" s="234"/>
      <c r="N251" s="134" t="s">
        <v>31</v>
      </c>
      <c r="O251" s="135"/>
      <c r="P251" s="135"/>
      <c r="Q251" s="135"/>
      <c r="R251" s="24">
        <f>J251</f>
        <v>3600</v>
      </c>
      <c r="S251" s="136"/>
      <c r="T251" s="211"/>
      <c r="U251" s="79"/>
      <c r="V251" s="80"/>
      <c r="W251" s="80"/>
      <c r="X251" s="80"/>
      <c r="Y251" s="81"/>
      <c r="Z251" s="82"/>
      <c r="AA251" s="219"/>
      <c r="AB251" s="265"/>
      <c r="AC251" s="134" t="s">
        <v>31</v>
      </c>
      <c r="AD251" s="135"/>
      <c r="AE251" s="135"/>
      <c r="AF251" s="135"/>
      <c r="AG251" s="24">
        <f>J251</f>
        <v>3600</v>
      </c>
      <c r="AH251" s="136"/>
      <c r="AI251" s="253"/>
      <c r="AJ251" s="182"/>
      <c r="AK251" s="80"/>
      <c r="AL251" s="80"/>
      <c r="AM251" s="80"/>
      <c r="AN251" s="81"/>
      <c r="AO251" s="82"/>
      <c r="AP251" s="252"/>
      <c r="AZ251" s="137"/>
    </row>
    <row r="252" spans="1:54" ht="15" x14ac:dyDescent="0.25">
      <c r="A252" s="168" t="s">
        <v>61</v>
      </c>
      <c r="B252" s="123"/>
      <c r="C252" s="124">
        <v>50</v>
      </c>
      <c r="D252" s="45"/>
      <c r="E252" s="157"/>
      <c r="F252" s="89" t="str">
        <f>" "</f>
        <v xml:space="preserve"> </v>
      </c>
      <c r="G252" s="90"/>
      <c r="H252" s="90"/>
      <c r="I252" s="90"/>
      <c r="J252" s="31"/>
      <c r="K252" s="91"/>
      <c r="L252" s="96"/>
      <c r="M252" s="227"/>
      <c r="N252" s="89"/>
      <c r="O252" s="90"/>
      <c r="P252" s="90"/>
      <c r="Q252" s="90"/>
      <c r="R252" s="31"/>
      <c r="S252" s="138"/>
      <c r="T252" s="211"/>
      <c r="U252" s="179" t="s">
        <v>52</v>
      </c>
      <c r="V252" s="100"/>
      <c r="W252" s="100"/>
      <c r="X252" s="100"/>
      <c r="Y252" s="94">
        <f>Y245</f>
        <v>3930</v>
      </c>
      <c r="Z252" s="95"/>
      <c r="AA252" s="219"/>
      <c r="AB252" s="265"/>
      <c r="AC252" s="89" t="str">
        <f>" "</f>
        <v xml:space="preserve"> </v>
      </c>
      <c r="AD252" s="90"/>
      <c r="AE252" s="90"/>
      <c r="AF252" s="90"/>
      <c r="AG252" s="31"/>
      <c r="AH252" s="138"/>
      <c r="AI252" s="253"/>
      <c r="AJ252" s="179" t="s">
        <v>52</v>
      </c>
      <c r="AK252" s="100"/>
      <c r="AL252" s="100"/>
      <c r="AM252" s="100"/>
      <c r="AN252" s="94">
        <f>AN245</f>
        <v>4100</v>
      </c>
      <c r="AO252" s="95"/>
      <c r="AP252" s="252"/>
    </row>
    <row r="253" spans="1:54" ht="15.75" thickBot="1" x14ac:dyDescent="0.3">
      <c r="A253" s="169" t="s">
        <v>62</v>
      </c>
      <c r="B253" s="139"/>
      <c r="C253" s="140">
        <v>100</v>
      </c>
      <c r="D253" s="141"/>
      <c r="E253" s="157"/>
      <c r="F253" s="98" t="str">
        <f>"DA Incremental Cost @ "&amp;C237&amp;" MW"</f>
        <v>DA Incremental Cost @ 80 MW</v>
      </c>
      <c r="G253" s="99"/>
      <c r="H253" s="99"/>
      <c r="I253" s="99"/>
      <c r="J253" s="31">
        <f>F232</f>
        <v>1690</v>
      </c>
      <c r="K253" s="91"/>
      <c r="L253" s="96"/>
      <c r="M253" s="234"/>
      <c r="N253" s="98" t="s">
        <v>49</v>
      </c>
      <c r="O253" s="99"/>
      <c r="P253" s="99"/>
      <c r="Q253" s="99"/>
      <c r="R253" s="31">
        <f>J259</f>
        <v>0</v>
      </c>
      <c r="S253" s="138"/>
      <c r="T253" s="211"/>
      <c r="U253" s="101"/>
      <c r="V253" s="100"/>
      <c r="W253" s="100"/>
      <c r="X253" s="100"/>
      <c r="Y253" s="94"/>
      <c r="Z253" s="95"/>
      <c r="AA253" s="219"/>
      <c r="AB253" s="265"/>
      <c r="AC253" s="98" t="s">
        <v>49</v>
      </c>
      <c r="AD253" s="99"/>
      <c r="AE253" s="99"/>
      <c r="AF253" s="99"/>
      <c r="AG253" s="31">
        <f>J259</f>
        <v>0</v>
      </c>
      <c r="AH253" s="138"/>
      <c r="AI253" s="253"/>
      <c r="AJ253" s="184"/>
      <c r="AK253" s="100"/>
      <c r="AL253" s="100"/>
      <c r="AM253" s="100"/>
      <c r="AN253" s="94"/>
      <c r="AO253" s="95"/>
      <c r="AP253" s="252"/>
    </row>
    <row r="254" spans="1:54" ht="15.75" thickBot="1" x14ac:dyDescent="0.3">
      <c r="E254" s="55"/>
      <c r="F254" s="98" t="s">
        <v>40</v>
      </c>
      <c r="G254" s="99"/>
      <c r="H254" s="99"/>
      <c r="I254" s="99"/>
      <c r="J254" s="31">
        <f>C240</f>
        <v>0</v>
      </c>
      <c r="K254" s="91"/>
      <c r="L254" s="96"/>
      <c r="M254" s="230"/>
      <c r="N254" s="142" t="s">
        <v>63</v>
      </c>
      <c r="O254" s="143"/>
      <c r="P254" s="143"/>
      <c r="Q254" s="143"/>
      <c r="R254" s="31">
        <f>J239</f>
        <v>340</v>
      </c>
      <c r="S254" s="138"/>
      <c r="T254" s="211"/>
      <c r="U254" s="179" t="str">
        <f>"RT Incremental Cost @ "&amp;C248&amp;" MW"</f>
        <v>RT Incremental Cost @ 70 MW</v>
      </c>
      <c r="V254" s="100"/>
      <c r="W254" s="100"/>
      <c r="X254" s="100"/>
      <c r="Y254" s="94">
        <f>R258</f>
        <v>1440</v>
      </c>
      <c r="Z254" s="95"/>
      <c r="AA254" s="219"/>
      <c r="AB254" s="265"/>
      <c r="AC254" s="142" t="s">
        <v>63</v>
      </c>
      <c r="AD254" s="143"/>
      <c r="AE254" s="143"/>
      <c r="AF254" s="143"/>
      <c r="AG254" s="31">
        <f>J239</f>
        <v>340</v>
      </c>
      <c r="AH254" s="138"/>
      <c r="AI254" s="253"/>
      <c r="AJ254" s="179" t="str">
        <f>"RT Incremental Cost @ "&amp;C246&amp;" MW"</f>
        <v>RT Incremental Cost @ 80 MW</v>
      </c>
      <c r="AK254" s="100"/>
      <c r="AL254" s="100"/>
      <c r="AM254" s="100"/>
      <c r="AN254" s="94">
        <f>AG258</f>
        <v>1690</v>
      </c>
      <c r="AO254" s="95"/>
      <c r="AP254" s="252"/>
    </row>
    <row r="255" spans="1:54" ht="28.5" x14ac:dyDescent="0.2">
      <c r="A255" s="26" t="s">
        <v>64</v>
      </c>
      <c r="B255" s="21"/>
      <c r="C255" s="21"/>
      <c r="D255" s="189"/>
      <c r="E255" s="157"/>
      <c r="F255" s="98" t="s">
        <v>43</v>
      </c>
      <c r="G255" s="99"/>
      <c r="H255" s="99"/>
      <c r="I255" s="99"/>
      <c r="J255" s="31">
        <f>C239</f>
        <v>0</v>
      </c>
      <c r="K255" s="91"/>
      <c r="L255" s="96"/>
      <c r="M255" s="235"/>
      <c r="N255" s="98" t="s">
        <v>65</v>
      </c>
      <c r="O255" s="99"/>
      <c r="P255" s="99"/>
      <c r="Q255" s="99"/>
      <c r="R255" s="31">
        <f>(C248-C237)*C247</f>
        <v>-470</v>
      </c>
      <c r="S255" s="138"/>
      <c r="T255" s="225"/>
      <c r="U255" s="179" t="s">
        <v>67</v>
      </c>
      <c r="V255" s="100"/>
      <c r="W255" s="100"/>
      <c r="X255" s="100"/>
      <c r="Y255" s="94">
        <f>C251</f>
        <v>0</v>
      </c>
      <c r="Z255" s="95"/>
      <c r="AA255" s="219"/>
      <c r="AB255" s="265"/>
      <c r="AC255" s="98" t="s">
        <v>66</v>
      </c>
      <c r="AD255" s="99"/>
      <c r="AE255" s="99"/>
      <c r="AF255" s="99"/>
      <c r="AG255" s="31">
        <f>(C246-C237)*C247</f>
        <v>0</v>
      </c>
      <c r="AH255" s="138"/>
      <c r="AI255" s="255"/>
      <c r="AJ255" s="179" t="s">
        <v>67</v>
      </c>
      <c r="AK255" s="100"/>
      <c r="AL255" s="100"/>
      <c r="AM255" s="100"/>
      <c r="AN255" s="94">
        <f>AG259</f>
        <v>0</v>
      </c>
      <c r="AO255" s="95"/>
      <c r="AP255" s="252"/>
    </row>
    <row r="256" spans="1:54" ht="15" x14ac:dyDescent="0.25">
      <c r="A256" s="32" t="s">
        <v>68</v>
      </c>
      <c r="B256" s="28"/>
      <c r="C256" s="123">
        <v>20</v>
      </c>
      <c r="D256" s="45"/>
      <c r="E256" s="157"/>
      <c r="F256" s="89" t="str">
        <f>" "</f>
        <v xml:space="preserve"> </v>
      </c>
      <c r="G256" s="90"/>
      <c r="H256" s="90"/>
      <c r="I256" s="90"/>
      <c r="J256" s="31"/>
      <c r="K256" s="91"/>
      <c r="L256" s="96"/>
      <c r="M256" s="236"/>
      <c r="N256" s="275" t="s">
        <v>69</v>
      </c>
      <c r="O256" s="203"/>
      <c r="P256" s="203"/>
      <c r="Q256" s="203"/>
      <c r="R256" s="31">
        <f>R239</f>
        <v>220</v>
      </c>
      <c r="S256" s="138"/>
      <c r="T256" s="213"/>
      <c r="U256" s="179" t="s">
        <v>70</v>
      </c>
      <c r="V256" s="100"/>
      <c r="W256" s="100"/>
      <c r="X256" s="100"/>
      <c r="Y256" s="147">
        <f>C250</f>
        <v>0</v>
      </c>
      <c r="Z256" s="148"/>
      <c r="AA256" s="220"/>
      <c r="AB256" s="265"/>
      <c r="AC256" s="275" t="s">
        <v>69</v>
      </c>
      <c r="AD256" s="203"/>
      <c r="AE256" s="203"/>
      <c r="AF256" s="203"/>
      <c r="AG256" s="31">
        <f>AG239</f>
        <v>0</v>
      </c>
      <c r="AH256" s="138"/>
      <c r="AI256" s="253"/>
      <c r="AJ256" s="179" t="s">
        <v>70</v>
      </c>
      <c r="AK256" s="100"/>
      <c r="AL256" s="100"/>
      <c r="AM256" s="100"/>
      <c r="AN256" s="147">
        <f>AG260</f>
        <v>0</v>
      </c>
      <c r="AO256" s="148"/>
      <c r="AP256" s="252"/>
    </row>
    <row r="257" spans="1:46" ht="15" x14ac:dyDescent="0.25">
      <c r="A257" s="190" t="s">
        <v>71</v>
      </c>
      <c r="B257" s="191"/>
      <c r="C257" s="31">
        <v>25</v>
      </c>
      <c r="D257" s="45"/>
      <c r="E257" s="157"/>
      <c r="F257" s="98" t="s">
        <v>47</v>
      </c>
      <c r="G257" s="99"/>
      <c r="H257" s="99"/>
      <c r="I257" s="99"/>
      <c r="J257" s="114">
        <f>J251-J253-J254-J255</f>
        <v>1910</v>
      </c>
      <c r="K257" s="115"/>
      <c r="L257" s="96"/>
      <c r="M257" s="237"/>
      <c r="N257" s="89"/>
      <c r="O257" s="90"/>
      <c r="P257" s="90"/>
      <c r="Q257" s="90"/>
      <c r="R257" s="31"/>
      <c r="S257" s="138"/>
      <c r="T257" s="213"/>
      <c r="U257" s="101"/>
      <c r="V257" s="100"/>
      <c r="W257" s="100"/>
      <c r="X257" s="100"/>
      <c r="Y257" s="94"/>
      <c r="Z257" s="95"/>
      <c r="AA257" s="219"/>
      <c r="AB257" s="265"/>
      <c r="AC257" s="98"/>
      <c r="AD257" s="99"/>
      <c r="AE257" s="99"/>
      <c r="AF257" s="99"/>
      <c r="AG257" s="31"/>
      <c r="AH257" s="138"/>
      <c r="AI257" s="255"/>
      <c r="AJ257" s="184"/>
      <c r="AK257" s="100"/>
      <c r="AL257" s="100"/>
      <c r="AM257" s="100"/>
      <c r="AN257" s="94"/>
      <c r="AO257" s="95"/>
      <c r="AP257" s="252"/>
    </row>
    <row r="258" spans="1:46" ht="15.75" thickBot="1" x14ac:dyDescent="0.3">
      <c r="A258" s="192" t="s">
        <v>72</v>
      </c>
      <c r="B258" s="28"/>
      <c r="C258" s="123">
        <v>1</v>
      </c>
      <c r="D258" s="45"/>
      <c r="E258" s="157"/>
      <c r="F258" s="89" t="str">
        <f>" "</f>
        <v xml:space="preserve"> </v>
      </c>
      <c r="G258" s="90"/>
      <c r="H258" s="90"/>
      <c r="I258" s="90"/>
      <c r="J258" s="31"/>
      <c r="K258" s="91"/>
      <c r="L258" s="96"/>
      <c r="M258" s="238"/>
      <c r="N258" s="98" t="str">
        <f>"RT Incremental Cost @ "&amp;C248&amp;" MW"</f>
        <v>RT Incremental Cost @ 70 MW</v>
      </c>
      <c r="O258" s="99"/>
      <c r="P258" s="99"/>
      <c r="Q258" s="99"/>
      <c r="R258" s="31">
        <f>T232</f>
        <v>1440</v>
      </c>
      <c r="S258" s="138"/>
      <c r="T258" s="213"/>
      <c r="U258" s="179" t="s">
        <v>73</v>
      </c>
      <c r="V258" s="100"/>
      <c r="W258" s="100"/>
      <c r="X258" s="100"/>
      <c r="Y258" s="120">
        <f>Y252-Y254-Y255-Y256</f>
        <v>2490</v>
      </c>
      <c r="Z258" s="121"/>
      <c r="AA258" s="219"/>
      <c r="AB258" s="265"/>
      <c r="AC258" s="98" t="str">
        <f>"RT Incremental Cost @ "&amp;C246&amp;" MW"</f>
        <v>RT Incremental Cost @ 80 MW</v>
      </c>
      <c r="AD258" s="99"/>
      <c r="AE258" s="99"/>
      <c r="AF258" s="99"/>
      <c r="AG258" s="31">
        <f>M232</f>
        <v>1690</v>
      </c>
      <c r="AH258" s="138"/>
      <c r="AI258" s="255"/>
      <c r="AJ258" s="179" t="s">
        <v>73</v>
      </c>
      <c r="AK258" s="100"/>
      <c r="AL258" s="100"/>
      <c r="AM258" s="100"/>
      <c r="AN258" s="120">
        <f>AN252-AN254-AN255-AN256</f>
        <v>2410</v>
      </c>
      <c r="AO258" s="121"/>
      <c r="AP258" s="252"/>
      <c r="AQ258" s="137"/>
    </row>
    <row r="259" spans="1:46" ht="16.5" thickTop="1" thickBot="1" x14ac:dyDescent="0.3">
      <c r="A259" s="27" t="s">
        <v>74</v>
      </c>
      <c r="B259" s="193"/>
      <c r="C259" s="123">
        <v>100</v>
      </c>
      <c r="D259" s="45"/>
      <c r="E259" s="157"/>
      <c r="F259" s="98" t="s">
        <v>49</v>
      </c>
      <c r="G259" s="99"/>
      <c r="H259" s="99"/>
      <c r="I259" s="99"/>
      <c r="J259" s="118">
        <f>MAX(J257*-1,0)</f>
        <v>0</v>
      </c>
      <c r="K259" s="119"/>
      <c r="L259" s="96"/>
      <c r="M259" s="238"/>
      <c r="N259" s="98" t="s">
        <v>67</v>
      </c>
      <c r="O259" s="99"/>
      <c r="P259" s="99"/>
      <c r="Q259" s="99"/>
      <c r="R259" s="31">
        <f>C251</f>
        <v>0</v>
      </c>
      <c r="S259" s="138"/>
      <c r="T259" s="211"/>
      <c r="U259" s="92"/>
      <c r="V259" s="100"/>
      <c r="W259" s="100"/>
      <c r="X259" s="100"/>
      <c r="Y259" s="94"/>
      <c r="Z259" s="95"/>
      <c r="AA259" s="219"/>
      <c r="AB259" s="265"/>
      <c r="AC259" s="98" t="s">
        <v>67</v>
      </c>
      <c r="AD259" s="99"/>
      <c r="AE259" s="99"/>
      <c r="AF259" s="99"/>
      <c r="AG259" s="31">
        <f>C251</f>
        <v>0</v>
      </c>
      <c r="AH259" s="138"/>
      <c r="AI259" s="253"/>
      <c r="AJ259" s="184"/>
      <c r="AK259" s="100"/>
      <c r="AL259" s="100"/>
      <c r="AM259" s="100"/>
      <c r="AN259" s="94"/>
      <c r="AO259" s="95"/>
      <c r="AP259" s="252"/>
    </row>
    <row r="260" spans="1:46" ht="16.5" thickTop="1" thickBot="1" x14ac:dyDescent="0.3">
      <c r="A260" s="33" t="s">
        <v>75</v>
      </c>
      <c r="B260" s="194"/>
      <c r="C260" s="139">
        <v>100</v>
      </c>
      <c r="D260" s="141"/>
      <c r="E260" s="157"/>
      <c r="F260" s="125" t="str">
        <f>" "</f>
        <v xml:space="preserve"> </v>
      </c>
      <c r="G260" s="126"/>
      <c r="H260" s="126"/>
      <c r="I260" s="126"/>
      <c r="J260" s="37"/>
      <c r="K260" s="127"/>
      <c r="L260" s="96"/>
      <c r="M260" s="238"/>
      <c r="N260" s="98" t="s">
        <v>70</v>
      </c>
      <c r="O260" s="99"/>
      <c r="P260" s="99"/>
      <c r="Q260" s="99"/>
      <c r="R260" s="31">
        <f>C250</f>
        <v>0</v>
      </c>
      <c r="S260" s="138"/>
      <c r="T260" s="211"/>
      <c r="U260" s="68" t="str">
        <f>" "</f>
        <v xml:space="preserve"> </v>
      </c>
      <c r="V260" s="69"/>
      <c r="W260" s="69"/>
      <c r="X260" s="69"/>
      <c r="Y260" s="128"/>
      <c r="Z260" s="178"/>
      <c r="AA260" s="219"/>
      <c r="AB260" s="265"/>
      <c r="AC260" s="98" t="s">
        <v>70</v>
      </c>
      <c r="AD260" s="99"/>
      <c r="AE260" s="99"/>
      <c r="AF260" s="99"/>
      <c r="AG260" s="31">
        <f>C250</f>
        <v>0</v>
      </c>
      <c r="AH260" s="138"/>
      <c r="AI260" s="251"/>
      <c r="AJ260" s="188" t="str">
        <f>" "</f>
        <v xml:space="preserve"> </v>
      </c>
      <c r="AK260" s="69"/>
      <c r="AL260" s="69"/>
      <c r="AM260" s="69"/>
      <c r="AN260" s="128"/>
      <c r="AO260" s="129"/>
      <c r="AP260" s="252"/>
    </row>
    <row r="261" spans="1:46" ht="15" x14ac:dyDescent="0.25">
      <c r="A261" s="149"/>
      <c r="B261" s="137"/>
      <c r="C261" s="54"/>
      <c r="D261" s="54"/>
      <c r="E261" s="55"/>
      <c r="L261" s="55"/>
      <c r="M261" s="239"/>
      <c r="N261" s="281" t="s">
        <v>98</v>
      </c>
      <c r="O261" s="143"/>
      <c r="P261" s="143"/>
      <c r="Q261" s="143"/>
      <c r="R261" s="273">
        <v>0</v>
      </c>
      <c r="S261" s="274"/>
      <c r="T261" s="211"/>
      <c r="U261" s="211"/>
      <c r="V261" s="211"/>
      <c r="W261" s="211"/>
      <c r="X261" s="211"/>
      <c r="Y261" s="211"/>
      <c r="Z261" s="211"/>
      <c r="AA261" s="212"/>
      <c r="AB261" s="266"/>
      <c r="AC261" s="142" t="s">
        <v>98</v>
      </c>
      <c r="AD261" s="143"/>
      <c r="AE261" s="143"/>
      <c r="AF261" s="143"/>
      <c r="AG261" s="273">
        <f>AG240*-1</f>
        <v>0</v>
      </c>
      <c r="AH261" s="274"/>
      <c r="AI261" s="251"/>
      <c r="AJ261" s="251"/>
      <c r="AK261" s="251"/>
      <c r="AL261" s="251"/>
      <c r="AM261" s="251"/>
      <c r="AN261" s="251"/>
      <c r="AO261" s="251"/>
      <c r="AP261" s="252"/>
    </row>
    <row r="262" spans="1:46" ht="15.75" thickBot="1" x14ac:dyDescent="0.3">
      <c r="A262" s="201"/>
      <c r="B262" s="202"/>
      <c r="C262" s="201"/>
      <c r="D262" s="201"/>
      <c r="E262" s="210"/>
      <c r="L262" s="55"/>
      <c r="M262" s="238"/>
      <c r="N262" s="142" t="s">
        <v>97</v>
      </c>
      <c r="O262" s="203"/>
      <c r="P262" s="203"/>
      <c r="Q262" s="203"/>
      <c r="R262" s="31">
        <f>R241*-1</f>
        <v>0</v>
      </c>
      <c r="S262" s="138"/>
      <c r="T262" s="211"/>
      <c r="U262" s="211"/>
      <c r="V262" s="211"/>
      <c r="W262" s="211"/>
      <c r="X262" s="211"/>
      <c r="Y262" s="211"/>
      <c r="Z262" s="211"/>
      <c r="AA262" s="212"/>
      <c r="AB262" s="265"/>
      <c r="AC262" s="142" t="s">
        <v>97</v>
      </c>
      <c r="AD262" s="203"/>
      <c r="AE262" s="203"/>
      <c r="AF262" s="203"/>
      <c r="AG262" s="31">
        <f>AG241*-1</f>
        <v>0</v>
      </c>
      <c r="AH262" s="138"/>
      <c r="AI262" s="253"/>
      <c r="AJ262" s="251"/>
      <c r="AK262" s="251"/>
      <c r="AL262" s="251"/>
      <c r="AM262" s="251"/>
      <c r="AN262" s="251"/>
      <c r="AO262" s="251"/>
      <c r="AP262" s="252"/>
    </row>
    <row r="263" spans="1:46" ht="15" x14ac:dyDescent="0.25">
      <c r="A263" s="20"/>
      <c r="B263" s="195"/>
      <c r="C263" s="135"/>
      <c r="D263" s="42"/>
      <c r="E263" s="157"/>
      <c r="L263" s="55"/>
      <c r="M263" s="238"/>
      <c r="N263" s="142" t="s">
        <v>76</v>
      </c>
      <c r="O263" s="143"/>
      <c r="P263" s="143"/>
      <c r="Q263" s="143"/>
      <c r="R263" s="31">
        <f>R246</f>
        <v>240</v>
      </c>
      <c r="S263" s="138"/>
      <c r="T263" s="213"/>
      <c r="U263" s="211"/>
      <c r="V263" s="211"/>
      <c r="W263" s="211"/>
      <c r="X263" s="211"/>
      <c r="Y263" s="211"/>
      <c r="Z263" s="211"/>
      <c r="AA263" s="212"/>
      <c r="AB263" s="265"/>
      <c r="AC263" s="142" t="s">
        <v>76</v>
      </c>
      <c r="AD263" s="143"/>
      <c r="AE263" s="143"/>
      <c r="AF263" s="143"/>
      <c r="AG263" s="31">
        <f>AG246</f>
        <v>160</v>
      </c>
      <c r="AH263" s="138"/>
      <c r="AI263" s="253"/>
      <c r="AJ263" s="251"/>
      <c r="AK263" s="251"/>
      <c r="AL263" s="251"/>
      <c r="AM263" s="251"/>
      <c r="AN263" s="251"/>
      <c r="AO263" s="251"/>
      <c r="AP263" s="252"/>
    </row>
    <row r="264" spans="1:46" ht="15" x14ac:dyDescent="0.25">
      <c r="A264" s="27" t="s">
        <v>78</v>
      </c>
      <c r="B264" s="193"/>
      <c r="C264" s="123">
        <v>30</v>
      </c>
      <c r="D264" s="45"/>
      <c r="E264" s="157"/>
      <c r="L264" s="55"/>
      <c r="M264" s="227"/>
      <c r="N264" s="151" t="s">
        <v>77</v>
      </c>
      <c r="O264" s="99"/>
      <c r="P264" s="99"/>
      <c r="Q264" s="99"/>
      <c r="R264" s="114">
        <f>R251+R254+R255+R256+R257-R258-R259-R260+R263+R261+R262</f>
        <v>2490</v>
      </c>
      <c r="S264" s="152"/>
      <c r="T264" s="213"/>
      <c r="U264" s="211"/>
      <c r="V264" s="213"/>
      <c r="W264" s="213"/>
      <c r="X264" s="213"/>
      <c r="Y264" s="211"/>
      <c r="Z264" s="211"/>
      <c r="AA264" s="212"/>
      <c r="AB264" s="265"/>
      <c r="AC264" s="151" t="s">
        <v>77</v>
      </c>
      <c r="AD264" s="150"/>
      <c r="AE264" s="150"/>
      <c r="AF264" s="150"/>
      <c r="AG264" s="114">
        <f>AG251+AG255+AG263+AG254+AG256+AG261-AG258-AG259-AG260+AG262</f>
        <v>2410</v>
      </c>
      <c r="AH264" s="152"/>
      <c r="AI264" s="253"/>
      <c r="AJ264" s="251"/>
      <c r="AK264" s="251"/>
      <c r="AL264" s="251"/>
      <c r="AM264" s="251"/>
      <c r="AN264" s="251"/>
      <c r="AO264" s="251"/>
      <c r="AP264" s="252"/>
    </row>
    <row r="265" spans="1:46" ht="15" x14ac:dyDescent="0.25">
      <c r="A265" s="27" t="s">
        <v>80</v>
      </c>
      <c r="B265" s="193"/>
      <c r="C265" s="123">
        <f>IF(C264&gt;0,MIN(C269-C246,C264),0)</f>
        <v>20</v>
      </c>
      <c r="D265" s="45"/>
      <c r="E265" s="157"/>
      <c r="L265" s="55"/>
      <c r="M265" s="227"/>
      <c r="N265" s="32"/>
      <c r="O265" s="28"/>
      <c r="P265" s="28"/>
      <c r="Q265" s="28"/>
      <c r="R265" s="28"/>
      <c r="S265" s="272"/>
      <c r="T265" s="211"/>
      <c r="U265" s="211"/>
      <c r="V265" s="211"/>
      <c r="W265" s="211"/>
      <c r="X265" s="211"/>
      <c r="Y265" s="211"/>
      <c r="Z265" s="211"/>
      <c r="AA265" s="212"/>
      <c r="AB265" s="265"/>
      <c r="AC265" s="89" t="str">
        <f>" "</f>
        <v xml:space="preserve"> </v>
      </c>
      <c r="AD265" s="90"/>
      <c r="AE265" s="90"/>
      <c r="AF265" s="90"/>
      <c r="AG265" s="31"/>
      <c r="AH265" s="138"/>
      <c r="AI265" s="253"/>
      <c r="AJ265" s="251"/>
      <c r="AK265" s="251"/>
      <c r="AL265" s="251"/>
      <c r="AM265" s="251"/>
      <c r="AN265" s="251"/>
      <c r="AO265" s="251"/>
      <c r="AP265" s="252"/>
    </row>
    <row r="266" spans="1:46" ht="15.75" thickBot="1" x14ac:dyDescent="0.3">
      <c r="A266" s="27" t="s">
        <v>81</v>
      </c>
      <c r="B266" s="193"/>
      <c r="C266" s="196">
        <v>30</v>
      </c>
      <c r="D266" s="45"/>
      <c r="E266" s="157"/>
      <c r="L266" s="55"/>
      <c r="M266" s="227"/>
      <c r="N266" s="98" t="s">
        <v>79</v>
      </c>
      <c r="O266" s="99"/>
      <c r="P266" s="99"/>
      <c r="Q266" s="99"/>
      <c r="R266" s="118">
        <f>MAX(MAX(R264*-1,0)-R253,0)</f>
        <v>0</v>
      </c>
      <c r="S266" s="153"/>
      <c r="T266" s="211"/>
      <c r="U266" s="211"/>
      <c r="V266" s="211"/>
      <c r="W266" s="211"/>
      <c r="X266" s="211"/>
      <c r="Y266" s="211"/>
      <c r="Z266" s="211"/>
      <c r="AA266" s="212"/>
      <c r="AB266" s="265"/>
      <c r="AC266" s="151" t="s">
        <v>79</v>
      </c>
      <c r="AD266" s="150"/>
      <c r="AE266" s="150"/>
      <c r="AF266" s="150"/>
      <c r="AG266" s="118">
        <f>MAX(MAX(AG264*-1,0)-AG253,0)</f>
        <v>0</v>
      </c>
      <c r="AH266" s="153"/>
      <c r="AI266" s="253"/>
      <c r="AJ266" s="251"/>
      <c r="AK266" s="251"/>
      <c r="AL266" s="251"/>
      <c r="AM266" s="251"/>
      <c r="AN266" s="251"/>
      <c r="AO266" s="251"/>
      <c r="AP266" s="252"/>
    </row>
    <row r="267" spans="1:46" ht="16.5" thickTop="1" thickBot="1" x14ac:dyDescent="0.3">
      <c r="A267" s="197" t="s">
        <v>82</v>
      </c>
      <c r="B267" s="198"/>
      <c r="C267" s="199">
        <f>IF(AND(C264&gt;0,C269-C249&lt;=C264),1,0)</f>
        <v>1</v>
      </c>
      <c r="D267" s="200"/>
      <c r="E267" s="96"/>
      <c r="L267" s="55"/>
      <c r="M267" s="234"/>
      <c r="N267" s="125" t="str">
        <f>" "</f>
        <v xml:space="preserve"> </v>
      </c>
      <c r="O267" s="126"/>
      <c r="P267" s="126"/>
      <c r="Q267" s="126"/>
      <c r="R267" s="37"/>
      <c r="S267" s="156"/>
      <c r="T267" s="214"/>
      <c r="U267" s="211"/>
      <c r="V267" s="211"/>
      <c r="W267" s="211"/>
      <c r="X267" s="211"/>
      <c r="Y267" s="211"/>
      <c r="Z267" s="211"/>
      <c r="AA267" s="212"/>
      <c r="AB267" s="250"/>
      <c r="AC267" s="125" t="str">
        <f>" "</f>
        <v xml:space="preserve"> </v>
      </c>
      <c r="AD267" s="126"/>
      <c r="AE267" s="126"/>
      <c r="AF267" s="126"/>
      <c r="AG267" s="37"/>
      <c r="AH267" s="155"/>
      <c r="AI267" s="253"/>
      <c r="AJ267" s="251"/>
      <c r="AK267" s="251"/>
      <c r="AL267" s="251"/>
      <c r="AM267" s="251"/>
      <c r="AN267" s="251"/>
      <c r="AO267" s="251"/>
      <c r="AP267" s="252"/>
    </row>
    <row r="268" spans="1:46" ht="15.75" thickBot="1" x14ac:dyDescent="0.3">
      <c r="A268" s="197" t="s">
        <v>83</v>
      </c>
      <c r="B268" s="198"/>
      <c r="C268" s="199">
        <v>1</v>
      </c>
      <c r="D268" s="200"/>
      <c r="E268" s="96"/>
      <c r="L268" s="55"/>
      <c r="M268" s="240"/>
      <c r="N268" s="241"/>
      <c r="O268" s="241"/>
      <c r="P268" s="215"/>
      <c r="Q268" s="215"/>
      <c r="R268" s="242"/>
      <c r="S268" s="241"/>
      <c r="T268" s="215"/>
      <c r="U268" s="215"/>
      <c r="V268" s="215"/>
      <c r="W268" s="215"/>
      <c r="X268" s="215"/>
      <c r="Y268" s="215"/>
      <c r="Z268" s="215"/>
      <c r="AA268" s="216"/>
      <c r="AB268" s="267"/>
      <c r="AC268" s="256"/>
      <c r="AD268" s="256"/>
      <c r="AE268" s="256"/>
      <c r="AF268" s="256"/>
      <c r="AG268" s="256"/>
      <c r="AH268" s="256"/>
      <c r="AI268" s="256"/>
      <c r="AJ268" s="257"/>
      <c r="AK268" s="257"/>
      <c r="AL268" s="257"/>
      <c r="AM268" s="257"/>
      <c r="AN268" s="257"/>
      <c r="AO268" s="257"/>
      <c r="AP268" s="258"/>
    </row>
    <row r="269" spans="1:46" ht="15" x14ac:dyDescent="0.25">
      <c r="A269" s="27" t="s">
        <v>84</v>
      </c>
      <c r="B269" s="28"/>
      <c r="C269" s="124">
        <v>100</v>
      </c>
      <c r="D269" s="45"/>
      <c r="E269" s="157"/>
      <c r="L269" s="55"/>
      <c r="M269" s="54"/>
      <c r="AB269" s="55"/>
      <c r="AC269" s="55"/>
      <c r="AD269" s="55"/>
      <c r="AE269" s="55"/>
      <c r="AF269" s="55"/>
      <c r="AG269" s="55"/>
      <c r="AH269" s="55"/>
      <c r="AI269" s="55"/>
    </row>
    <row r="270" spans="1:46" ht="15" x14ac:dyDescent="0.25">
      <c r="A270" s="27" t="s">
        <v>85</v>
      </c>
      <c r="B270" s="28"/>
      <c r="C270" s="124">
        <f>IF(AND(C267=1,C264&gt;C256),MAX(MIN(C249,C269)-(C264-MIN(C269,C249,0)),0),C249)</f>
        <v>70</v>
      </c>
      <c r="D270" s="45"/>
      <c r="E270" s="157"/>
      <c r="L270" s="55"/>
      <c r="T270" s="54"/>
      <c r="U270" s="158" t="s">
        <v>86</v>
      </c>
      <c r="V270" s="159"/>
      <c r="W270" s="54"/>
      <c r="X270" s="54"/>
      <c r="AD270" s="137"/>
      <c r="AM270" s="55"/>
      <c r="AN270" s="55"/>
      <c r="AO270" s="55"/>
      <c r="AP270" s="55"/>
      <c r="AQ270" s="55"/>
      <c r="AR270" s="55"/>
      <c r="AS270" s="55"/>
      <c r="AT270" s="55"/>
    </row>
    <row r="271" spans="1:46" ht="15.75" thickBot="1" x14ac:dyDescent="0.3">
      <c r="A271" s="33" t="s">
        <v>87</v>
      </c>
      <c r="B271" s="34"/>
      <c r="C271" s="139">
        <f>IF(AND(C268=1,C265&gt;C256),MAX(MIN(C249,C269)-(C265-MAX(C269-C249,0)),C246),C249)</f>
        <v>100</v>
      </c>
      <c r="D271" s="141"/>
      <c r="E271" s="157"/>
      <c r="L271" s="55"/>
      <c r="T271" s="149" t="s">
        <v>88</v>
      </c>
      <c r="U271" s="160" t="s">
        <v>89</v>
      </c>
      <c r="V271" s="160"/>
      <c r="W271" s="160"/>
      <c r="X271" s="161"/>
      <c r="Y271" s="103">
        <f>MIN(R265,AG265)</f>
        <v>0</v>
      </c>
      <c r="AB271" s="145"/>
      <c r="AM271" s="55"/>
      <c r="AN271" s="55"/>
      <c r="AO271" s="55"/>
      <c r="AP271" s="55"/>
      <c r="AQ271" s="55"/>
      <c r="AR271" s="55"/>
      <c r="AS271" s="55"/>
      <c r="AT271" s="55"/>
    </row>
    <row r="272" spans="1:46" ht="42.75" x14ac:dyDescent="0.25">
      <c r="A272" s="149" t="s">
        <v>99</v>
      </c>
      <c r="C272">
        <v>0</v>
      </c>
      <c r="E272" s="55"/>
      <c r="L272" s="55"/>
      <c r="U272" s="162" t="s">
        <v>90</v>
      </c>
      <c r="V272" s="162"/>
      <c r="W272" s="162"/>
      <c r="X272" s="163"/>
      <c r="Y272" s="175"/>
      <c r="Z272" s="175"/>
      <c r="AA272" s="175"/>
      <c r="AB272" s="164"/>
      <c r="AC272" s="164"/>
      <c r="AD272" s="165"/>
      <c r="AE272" s="165"/>
      <c r="AM272" s="55"/>
      <c r="AN272" s="55"/>
      <c r="AO272" s="55"/>
      <c r="AP272" s="55"/>
      <c r="AQ272" s="55"/>
      <c r="AR272" s="55"/>
      <c r="AS272" s="55"/>
      <c r="AT272" s="55"/>
    </row>
    <row r="273" spans="1:35" ht="15" x14ac:dyDescent="0.25">
      <c r="A273" s="149"/>
      <c r="E273" s="55"/>
      <c r="L273" s="55"/>
      <c r="AB273" s="55"/>
      <c r="AC273" s="55"/>
      <c r="AD273" s="55"/>
      <c r="AE273" s="55"/>
      <c r="AF273" s="55"/>
      <c r="AG273" s="55"/>
      <c r="AH273" s="55"/>
      <c r="AI273" s="55"/>
    </row>
    <row r="274" spans="1:35" ht="15" x14ac:dyDescent="0.25">
      <c r="A274" s="149"/>
      <c r="E274" s="55"/>
      <c r="L274" s="55"/>
      <c r="AC274" s="150"/>
      <c r="AD274" s="150"/>
      <c r="AE274" s="150"/>
    </row>
    <row r="275" spans="1:35" ht="15" x14ac:dyDescent="0.25">
      <c r="E275" s="55"/>
      <c r="L275" s="55"/>
      <c r="AC275" s="90"/>
      <c r="AD275" s="90"/>
      <c r="AE275" s="90"/>
    </row>
    <row r="276" spans="1:35" x14ac:dyDescent="0.2">
      <c r="E276" s="55"/>
      <c r="L276" s="55"/>
      <c r="AC276" s="150"/>
      <c r="AD276" s="150"/>
      <c r="AE276" s="150"/>
      <c r="AG276" s="137"/>
    </row>
    <row r="277" spans="1:35" ht="15" x14ac:dyDescent="0.25">
      <c r="A277" s="149"/>
      <c r="E277" s="55"/>
      <c r="L277" s="55"/>
      <c r="AC277" s="154"/>
      <c r="AD277" s="90"/>
      <c r="AE277" s="90"/>
      <c r="AH277" s="137"/>
    </row>
    <row r="278" spans="1:35" ht="15" x14ac:dyDescent="0.25">
      <c r="E278" s="55"/>
      <c r="L278" s="55"/>
      <c r="AC278" s="154"/>
      <c r="AD278" s="90"/>
      <c r="AE278" s="90"/>
      <c r="AH278" s="137"/>
    </row>
    <row r="279" spans="1:35" x14ac:dyDescent="0.2">
      <c r="E279" s="55"/>
      <c r="L279" s="55"/>
    </row>
    <row r="280" spans="1:35" x14ac:dyDescent="0.2">
      <c r="E280" s="55"/>
      <c r="L280" s="55"/>
    </row>
    <row r="281" spans="1:35" x14ac:dyDescent="0.2">
      <c r="E281" s="55"/>
      <c r="L281" s="55"/>
    </row>
    <row r="282" spans="1:35" x14ac:dyDescent="0.2">
      <c r="E282" s="55"/>
    </row>
    <row r="285" spans="1:35" x14ac:dyDescent="0.2">
      <c r="J285" s="202"/>
      <c r="K285" s="202"/>
      <c r="L285" s="202"/>
      <c r="M285" s="202"/>
      <c r="N285" s="202"/>
      <c r="O285" s="202"/>
      <c r="P285" s="202"/>
      <c r="Q285" s="202"/>
      <c r="R285" s="202"/>
      <c r="S285" s="202"/>
      <c r="T285" s="202"/>
      <c r="U285" s="202"/>
      <c r="V285" s="202"/>
      <c r="W285" s="202"/>
    </row>
    <row r="286" spans="1:35" x14ac:dyDescent="0.2">
      <c r="J286" s="202"/>
      <c r="K286" s="202"/>
      <c r="L286" s="202"/>
      <c r="M286" s="286"/>
      <c r="N286" s="202"/>
      <c r="O286" s="202"/>
      <c r="P286" s="202"/>
      <c r="Q286" s="202"/>
      <c r="R286" s="202"/>
      <c r="S286" s="202"/>
      <c r="T286" s="202"/>
      <c r="U286" s="202"/>
      <c r="V286" s="202"/>
      <c r="W286" s="202"/>
    </row>
    <row r="287" spans="1:35" x14ac:dyDescent="0.2">
      <c r="J287" s="202"/>
      <c r="K287" s="202"/>
      <c r="L287" s="202"/>
      <c r="M287" s="286"/>
      <c r="N287" s="202"/>
      <c r="O287" s="202"/>
      <c r="P287" s="202"/>
      <c r="Q287" s="202"/>
      <c r="R287" s="202"/>
      <c r="S287" s="202"/>
      <c r="T287" s="202"/>
      <c r="U287" s="202"/>
      <c r="V287" s="202"/>
      <c r="W287" s="202"/>
    </row>
    <row r="288" spans="1:35" x14ac:dyDescent="0.2">
      <c r="J288" s="202"/>
      <c r="K288" s="202"/>
      <c r="L288" s="287"/>
      <c r="M288" s="286"/>
      <c r="N288" s="202"/>
      <c r="O288" s="202"/>
      <c r="P288" s="202"/>
      <c r="Q288" s="202"/>
      <c r="R288" s="202"/>
      <c r="S288" s="202"/>
      <c r="T288" s="202"/>
      <c r="U288" s="202"/>
      <c r="V288" s="202"/>
      <c r="W288" s="202"/>
    </row>
    <row r="289" spans="10:23" x14ac:dyDescent="0.2">
      <c r="J289" s="202"/>
      <c r="K289" s="202"/>
      <c r="L289" s="202"/>
      <c r="M289" s="202"/>
      <c r="N289" s="202"/>
      <c r="O289" s="202"/>
      <c r="P289" s="202"/>
      <c r="Q289" s="202"/>
      <c r="R289" s="202"/>
      <c r="S289" s="202"/>
      <c r="T289" s="202"/>
      <c r="U289" s="202"/>
      <c r="V289" s="202"/>
      <c r="W289" s="202"/>
    </row>
    <row r="290" spans="10:23" x14ac:dyDescent="0.2">
      <c r="J290" s="202"/>
      <c r="K290" s="202"/>
      <c r="L290" s="202"/>
      <c r="M290" s="202"/>
      <c r="N290" s="202"/>
      <c r="O290" s="202"/>
      <c r="P290" s="202"/>
      <c r="Q290" s="202"/>
      <c r="R290" s="202"/>
      <c r="S290" s="202"/>
      <c r="T290" s="202"/>
      <c r="U290" s="202"/>
      <c r="V290" s="202"/>
      <c r="W290" s="202"/>
    </row>
    <row r="291" spans="10:23" x14ac:dyDescent="0.2">
      <c r="J291" s="202"/>
      <c r="K291" s="202"/>
      <c r="L291" s="202"/>
      <c r="M291" s="202"/>
      <c r="N291" s="202"/>
      <c r="O291" s="202"/>
      <c r="P291" s="202"/>
      <c r="Q291" s="202"/>
      <c r="R291" s="202"/>
      <c r="S291" s="202"/>
      <c r="T291" s="202"/>
      <c r="U291" s="202"/>
      <c r="V291" s="202"/>
      <c r="W291" s="202"/>
    </row>
    <row r="292" spans="10:23" x14ac:dyDescent="0.2">
      <c r="J292" s="202"/>
      <c r="K292" s="202"/>
      <c r="L292" s="202"/>
      <c r="M292" s="202"/>
      <c r="N292" s="202"/>
      <c r="O292" s="202"/>
      <c r="P292" s="202"/>
      <c r="Q292" s="202"/>
      <c r="R292" s="202"/>
      <c r="S292" s="202"/>
      <c r="T292" s="202"/>
      <c r="U292" s="202"/>
      <c r="V292" s="202"/>
      <c r="W292" s="202"/>
    </row>
    <row r="293" spans="10:23" x14ac:dyDescent="0.2">
      <c r="J293" s="202"/>
      <c r="K293" s="202"/>
      <c r="L293" s="202"/>
      <c r="M293" s="202"/>
      <c r="N293" s="202"/>
      <c r="O293" s="202"/>
      <c r="P293" s="202"/>
      <c r="Q293" s="202"/>
      <c r="R293" s="202"/>
      <c r="S293" s="202"/>
      <c r="T293" s="202"/>
      <c r="U293" s="202"/>
      <c r="V293" s="202"/>
      <c r="W293" s="202"/>
    </row>
  </sheetData>
  <mergeCells count="2">
    <mergeCell ref="A219:T219"/>
    <mergeCell ref="A105:T105"/>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W16" sqref="W16"/>
    </sheetView>
  </sheetViews>
  <sheetFormatPr defaultRowHeight="14.2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71"/>
  <sheetViews>
    <sheetView workbookViewId="0"/>
  </sheetViews>
  <sheetFormatPr defaultRowHeight="14.25" x14ac:dyDescent="0.2"/>
  <cols>
    <col min="1" max="1" width="16.75" customWidth="1"/>
    <col min="2" max="2" width="20.375" customWidth="1"/>
    <col min="10" max="10" width="9.5" bestFit="1" customWidth="1"/>
    <col min="12" max="12" width="11.875" customWidth="1"/>
    <col min="13" max="13" width="14.125" customWidth="1"/>
    <col min="14" max="14" width="14" customWidth="1"/>
    <col min="16" max="16" width="10.25" customWidth="1"/>
    <col min="20" max="20" width="9.5" bestFit="1" customWidth="1"/>
    <col min="27" max="27" width="9.5" bestFit="1" customWidth="1"/>
  </cols>
  <sheetData>
    <row r="1" spans="1:28" ht="20.25" x14ac:dyDescent="0.3">
      <c r="A1" s="1" t="s">
        <v>102</v>
      </c>
      <c r="B1" s="1"/>
      <c r="C1" s="1"/>
      <c r="D1" s="1"/>
      <c r="E1" s="1"/>
      <c r="F1" s="1"/>
      <c r="G1" s="1"/>
      <c r="H1" s="1"/>
      <c r="I1" s="1"/>
      <c r="J1" s="1"/>
      <c r="K1" s="1"/>
      <c r="L1" s="1"/>
      <c r="M1" s="1"/>
      <c r="N1" s="1"/>
      <c r="O1" s="1"/>
      <c r="P1" s="1"/>
      <c r="Q1" s="2"/>
      <c r="R1" s="2"/>
      <c r="S1" s="2"/>
      <c r="T1" s="2"/>
    </row>
    <row r="2" spans="1:28" ht="15.75" customHeight="1" thickBot="1" x14ac:dyDescent="0.3">
      <c r="A2" s="293" t="s">
        <v>108</v>
      </c>
      <c r="B2" s="293"/>
      <c r="C2" s="293"/>
      <c r="D2" s="293"/>
      <c r="E2" s="293"/>
      <c r="F2" s="293"/>
      <c r="G2" s="293"/>
      <c r="H2" s="293"/>
      <c r="I2" s="293"/>
      <c r="J2" s="293"/>
      <c r="K2" s="293"/>
      <c r="L2" s="293"/>
      <c r="M2" s="293"/>
      <c r="N2" s="293"/>
      <c r="O2" s="293"/>
      <c r="P2" s="293"/>
      <c r="Q2" s="293"/>
      <c r="R2" s="293"/>
      <c r="S2" s="293"/>
      <c r="T2" s="293"/>
    </row>
    <row r="3" spans="1:28" ht="15.75" thickBot="1" x14ac:dyDescent="0.3">
      <c r="A3" s="3" t="s">
        <v>0</v>
      </c>
      <c r="B3" s="4"/>
      <c r="C3" s="4"/>
      <c r="D3" s="5"/>
      <c r="E3" s="6" t="s">
        <v>1</v>
      </c>
      <c r="F3" s="7"/>
      <c r="G3" s="8"/>
      <c r="H3" s="9" t="s">
        <v>2</v>
      </c>
      <c r="I3" s="10"/>
      <c r="J3" s="11"/>
      <c r="K3" s="9" t="s">
        <v>3</v>
      </c>
      <c r="L3" s="10"/>
      <c r="M3" s="11"/>
      <c r="N3" s="9" t="s">
        <v>4</v>
      </c>
      <c r="O3" s="10"/>
      <c r="P3" s="11"/>
      <c r="Q3" s="9" t="s">
        <v>5</v>
      </c>
      <c r="R3" s="10"/>
      <c r="S3" s="10"/>
      <c r="T3" s="11"/>
      <c r="U3" s="9" t="s">
        <v>6</v>
      </c>
      <c r="V3" s="10"/>
      <c r="W3" s="10"/>
      <c r="X3" s="11"/>
      <c r="Y3" s="9" t="s">
        <v>7</v>
      </c>
      <c r="Z3" s="10"/>
      <c r="AA3" s="10"/>
      <c r="AB3" s="11"/>
    </row>
    <row r="4" spans="1:28" ht="30.75" thickBot="1" x14ac:dyDescent="0.3">
      <c r="A4" s="12" t="s">
        <v>8</v>
      </c>
      <c r="B4" s="13" t="s">
        <v>9</v>
      </c>
      <c r="C4" s="13" t="s">
        <v>10</v>
      </c>
      <c r="D4" s="14" t="s">
        <v>11</v>
      </c>
      <c r="E4" s="15" t="s">
        <v>12</v>
      </c>
      <c r="F4" s="16" t="s">
        <v>13</v>
      </c>
      <c r="G4" s="17" t="s">
        <v>14</v>
      </c>
      <c r="H4" s="15" t="s">
        <v>12</v>
      </c>
      <c r="I4" s="16" t="s">
        <v>15</v>
      </c>
      <c r="J4" s="17" t="s">
        <v>16</v>
      </c>
      <c r="K4" s="15" t="s">
        <v>12</v>
      </c>
      <c r="L4" s="16" t="s">
        <v>15</v>
      </c>
      <c r="M4" s="17" t="s">
        <v>16</v>
      </c>
      <c r="N4" s="15" t="s">
        <v>12</v>
      </c>
      <c r="O4" s="16" t="s">
        <v>15</v>
      </c>
      <c r="P4" s="17" t="s">
        <v>16</v>
      </c>
      <c r="Q4" s="18" t="s">
        <v>17</v>
      </c>
      <c r="R4" s="13" t="s">
        <v>18</v>
      </c>
      <c r="S4" s="13" t="s">
        <v>15</v>
      </c>
      <c r="T4" s="19" t="s">
        <v>16</v>
      </c>
      <c r="U4" s="18" t="s">
        <v>17</v>
      </c>
      <c r="V4" s="13" t="s">
        <v>18</v>
      </c>
      <c r="W4" s="13" t="s">
        <v>15</v>
      </c>
      <c r="X4" s="19" t="s">
        <v>16</v>
      </c>
      <c r="Y4" s="18" t="s">
        <v>17</v>
      </c>
      <c r="Z4" s="13" t="s">
        <v>18</v>
      </c>
      <c r="AA4" s="13" t="s">
        <v>15</v>
      </c>
      <c r="AB4" s="19" t="s">
        <v>16</v>
      </c>
    </row>
    <row r="5" spans="1:28" ht="15" x14ac:dyDescent="0.25">
      <c r="A5" s="20">
        <v>1</v>
      </c>
      <c r="B5" s="21">
        <v>0</v>
      </c>
      <c r="C5" s="21">
        <v>50</v>
      </c>
      <c r="D5" s="22">
        <v>20</v>
      </c>
      <c r="E5" s="23">
        <f>IF(AND(C20&gt;B5,C20&lt;=C5),C20,0)</f>
        <v>0</v>
      </c>
      <c r="F5" s="24">
        <f>IF(C20&gt;0,D5,0)</f>
        <v>20</v>
      </c>
      <c r="G5" s="22">
        <f>IF(E5&gt;0,IF(E5=B5,D5,IF(AND(E5&gt;B5,E5&lt;=C5),D5+(E5-B5)*((D5-D5)/(C5-B5)),0)),0)</f>
        <v>0</v>
      </c>
      <c r="H5" s="25">
        <f>IF(AND(C29&gt;B5,C29&lt;=C5),C29,0)</f>
        <v>0</v>
      </c>
      <c r="I5" s="24">
        <f>IF(C29&gt;0,D5,0)</f>
        <v>20</v>
      </c>
      <c r="J5" s="22">
        <f>IF(H5&gt;0,IF(H5=B5,D5,IF(AND(H5&gt;B5,H5&lt;=C5),D5+(H5-B5)*((D5-D5)/(C5-B5)),0)),0)</f>
        <v>0</v>
      </c>
      <c r="K5" s="26">
        <f>IF(AND(C31&gt;B5,C31&lt;=C5),C31,0)</f>
        <v>0</v>
      </c>
      <c r="L5" s="24">
        <f>IF(C29&gt;0,D5,0)</f>
        <v>20</v>
      </c>
      <c r="M5" s="22">
        <f>IF(K5&gt;0,IF(K5=B5,D5,IF(AND(K5&gt;B5,K5&lt;=C5),D5+(K5-B5)*((D5-D5)/(C5-B5)),0)),0)</f>
        <v>0</v>
      </c>
      <c r="N5" s="26">
        <f>IF(AND(C32&gt;E5,C32&lt;=F5),C32,0)</f>
        <v>0</v>
      </c>
      <c r="O5" s="24">
        <f>IF(C32&gt;0,D5,0)</f>
        <v>20</v>
      </c>
      <c r="P5" s="22">
        <f>IF(N5&gt;0,IF(N5=B5,D5,IF(AND(N5&gt;B5,N5&lt;=C5),D5+(N5-B5)*((D5-D5)/(C5-B5)),0)),0)</f>
        <v>0</v>
      </c>
      <c r="Q5" s="26">
        <f>IF(C29=C5,C29,0)</f>
        <v>0</v>
      </c>
      <c r="R5" s="21">
        <f>IF(C43=C5,C43,0)</f>
        <v>0</v>
      </c>
      <c r="S5" s="24">
        <f>IF(Q5&gt;0,D5,0)</f>
        <v>0</v>
      </c>
      <c r="T5" s="22">
        <f>IF(R5&gt;0,IF(R5=B5,D5,IF(AND(R5&gt;B5,R5&lt;=C5),D5+(R5-B5)*((D5-D5)/(C5-B5)),0)),0)</f>
        <v>0</v>
      </c>
      <c r="U5" s="26">
        <f>IF(C53=C5,C5,0)</f>
        <v>0</v>
      </c>
      <c r="V5" s="21">
        <f>IF(C50 = 1,IF((C31-C39)=C5,(C31-C39),0),0)</f>
        <v>0</v>
      </c>
      <c r="W5" s="24">
        <f>IF(U5&gt;0,D5,0)</f>
        <v>0</v>
      </c>
      <c r="X5" s="22">
        <f>IF(V5&gt;0,IF(V5=B5,D5,IF(AND(V5&gt;B5,V5&lt;=C5),D5+(V5-B5)*((D5-D5)/(C5-B5)),0)),0)</f>
        <v>0</v>
      </c>
      <c r="Y5" s="26">
        <f>IF(C54=C5,C5,0)</f>
        <v>0</v>
      </c>
      <c r="Z5" s="21">
        <f>IF(C50 = 1,IF((C31-C39)=C5,(C31-C39),0),0)</f>
        <v>0</v>
      </c>
      <c r="AA5" s="24">
        <f>IF(Y5&gt;0,D5,0)</f>
        <v>0</v>
      </c>
      <c r="AB5" s="22">
        <f>IF(Z5&gt;0,IF(Z5=B5,D5,IF(AND(Z5&gt;B5,Z5&lt;=C5),D5+(Z5-B5)*((D5-D5)/(C5-B5)),0)),0)</f>
        <v>0</v>
      </c>
    </row>
    <row r="6" spans="1:28" ht="15" x14ac:dyDescent="0.25">
      <c r="A6" s="27">
        <v>2</v>
      </c>
      <c r="B6" s="28">
        <v>50</v>
      </c>
      <c r="C6" s="28">
        <v>75</v>
      </c>
      <c r="D6" s="29">
        <v>25</v>
      </c>
      <c r="E6" s="30">
        <f>IF(AND(C20&gt;B6,C20&lt;=C6),C20,0)</f>
        <v>0</v>
      </c>
      <c r="F6" s="31">
        <v>0</v>
      </c>
      <c r="G6" s="29">
        <f>IF(E6&gt;0,IF(AND(E6&gt;B6,E6&lt;C6),D5+(E6-B6)*((D6-D5)/(C6-B6)),0),0)</f>
        <v>0</v>
      </c>
      <c r="H6" s="32">
        <f>IF(AND(C29&gt;B6,C29&lt;=C6),C29,0)</f>
        <v>0</v>
      </c>
      <c r="I6" s="31">
        <v>0</v>
      </c>
      <c r="J6" s="29">
        <f>IF(H6&gt;0,IF(H6=B6,D6,IF(AND(H6&gt;B6,H6&lt;=C6),D5+(H6-B6)*((D6-D5)/(C6-B6)),0)),0)</f>
        <v>0</v>
      </c>
      <c r="K6" s="32">
        <f>IF(AND(C31&gt;B6,C31&lt;=C6),C31,0)</f>
        <v>0</v>
      </c>
      <c r="L6" s="31">
        <v>0</v>
      </c>
      <c r="M6" s="29">
        <f>IF(K6&gt;0,IF(K6=B6,D6,IF(AND(K6&gt;B6,K6&lt;=C6),D5+(K6-B6)*((D6-D5)/(C6-B6)),0)),0)</f>
        <v>0</v>
      </c>
      <c r="N6" s="32">
        <f>IF(AND(C32&gt;B6,C32&lt;=C6),C32,0)</f>
        <v>0</v>
      </c>
      <c r="O6" s="31">
        <v>0</v>
      </c>
      <c r="P6" s="29">
        <f>IF(N6&gt;0,IF(N6=B6,D6,IF(AND(N6&gt;B6,N6&lt;=C6),D5+(N6-B6)*((D6-D5)/(C6-B6)),0)),0)</f>
        <v>0</v>
      </c>
      <c r="Q6" s="32">
        <f>IF(AND(C20&gt;B6,C20&lt;=C6),C20,0)</f>
        <v>0</v>
      </c>
      <c r="R6" s="28">
        <f>IF(AND(C43&gt;B6,C43&lt;=C6),C43,0)</f>
        <v>0</v>
      </c>
      <c r="S6" s="31">
        <f>IF(Q6&gt;0,IF(Q6=B6,D6,IF(AND(Q6&gt;B6,Q6&lt;=C6),D5+(Q6-B6)*((D6-D5)/(C6-B6)),0)),0)</f>
        <v>0</v>
      </c>
      <c r="T6" s="29">
        <f>IF(R6&gt;0,IF(R6=B6,D6,IF(AND(R6&gt;B6,R6&lt;=C6),D5+(R6-B6)*((D6-D5)/(C6-B6)),0)),0)</f>
        <v>0</v>
      </c>
      <c r="U6" s="32">
        <f>IF(C50 = 1,IF(AND(C53&gt;B6,C53&lt;=C6),C53,0),0)</f>
        <v>0</v>
      </c>
      <c r="V6" s="28">
        <f>IF(C50 = 1,IF(AND((MIN(C32,C42)-C39)&gt;B6,(MIN(C32,C42)-C39)&lt;=C6),(MIN(C32,C42)-C39),0),0)</f>
        <v>0</v>
      </c>
      <c r="W6" s="31">
        <f>IF(U6&gt;0,IF(U6=B6,D6,IF(AND(U6&gt;B6,U6&lt;=C6),D5+(U6-B6)*((D6-D5)/(C6-B6)),0)),0)</f>
        <v>0</v>
      </c>
      <c r="X6" s="29">
        <f>IF(V6&gt;0,IF(V6=B6,D6,IF(AND(V6&gt;B6,V6&lt;=C6),D5+(V6-B6)*((D6-D5)/(C6-B6)),0)),0)</f>
        <v>0</v>
      </c>
      <c r="Y6" s="32">
        <f>IF(C50 = 1,IF(AND(C54&gt;B6,C54&lt;=C6),C54,0),0)</f>
        <v>0</v>
      </c>
      <c r="Z6" s="28">
        <f>IF(C50 = 1,IF(AND((MIN(C32,C42)-C39)&gt;B6,(MIN(C32,C42)-C39)&lt;=C6),(MIN(C32,C42)-C39),0),0)</f>
        <v>0</v>
      </c>
      <c r="AA6" s="31">
        <f>IF(Y6&gt;0,IF(Y6=B6,D6,IF(AND(Y6&gt;B6,Y6&lt;=C6),D5+(Y6-B6)*((D6-D5)/(C6-B6)),0)),0)</f>
        <v>0</v>
      </c>
      <c r="AB6" s="29">
        <f>IF(Z6&gt;0,IF(Z6=B6,D6,IF(AND(Z6&gt;B6,Z6&lt;=C6),D5+(Z6-B6)*((D6-D5)/(C6-B6)),0)),0)</f>
        <v>0</v>
      </c>
    </row>
    <row r="7" spans="1:28" ht="15.75" thickBot="1" x14ac:dyDescent="0.3">
      <c r="A7" s="33">
        <v>3</v>
      </c>
      <c r="B7" s="34">
        <v>75</v>
      </c>
      <c r="C7" s="34">
        <v>100</v>
      </c>
      <c r="D7" s="35">
        <v>30</v>
      </c>
      <c r="E7" s="36">
        <f>IF(AND(C20&gt;B7,C20&lt;=C7),C20,IF(C20&gt;C7,C20,0))</f>
        <v>80</v>
      </c>
      <c r="F7" s="37">
        <v>0</v>
      </c>
      <c r="G7" s="35">
        <f>IF(E7&gt;0,IF(E7=C7,D7,IF(AND(E7&gt;B7,E7&lt;C7),D6+(E7-B7)*((D7-D6)/(C7-B7)),IF(E7&gt;C7,D7,0))),0)</f>
        <v>26</v>
      </c>
      <c r="H7" s="38">
        <f>IF(AND(C29&gt;B7,C29&lt;=C7),C29,IF(C29&gt;C7,C29,0))</f>
        <v>95</v>
      </c>
      <c r="I7" s="37">
        <v>0</v>
      </c>
      <c r="J7" s="35">
        <f>IF(H7&gt;0,IF(H7=B7,D7,IF(AND(H7&gt;B7,H7&lt;=C7),D6+(H7-B7)*((D7-D6)/(C7-B7)),IF(H7&gt;C7,D7,0))),0)</f>
        <v>29</v>
      </c>
      <c r="K7" s="38">
        <f>IF(AND(C31&gt;B7,C31&lt;=C7),C31,IF(C31&gt;C7,C31,0))</f>
        <v>100</v>
      </c>
      <c r="L7" s="37">
        <v>0</v>
      </c>
      <c r="M7" s="35">
        <f>IF(K7&gt;0,IF(K7=B7,D7,IF(AND(K7&gt;B7,K7&lt;=C7),D6+(K7-B7)*((D7-D6)/(C7-B7)),IF(K7&gt;C7,D7,0))),0)</f>
        <v>30</v>
      </c>
      <c r="N7" s="38">
        <f>IF(AND(C32&gt;B7,C32&lt;=C7),C32,IF(C32&gt;C7,C32,0))</f>
        <v>100</v>
      </c>
      <c r="O7" s="37">
        <v>0</v>
      </c>
      <c r="P7" s="35">
        <f>IF(N7&gt;0,IF(N7=B7,D7,IF(AND(N7&gt;B7,N7&lt;=C7),D6+(N7-B7)*((D7-D6)/(C7-B7)),IF(N7&gt;C7,D7,0))),0)</f>
        <v>30</v>
      </c>
      <c r="Q7" s="38">
        <f>IF(AND(C20&gt;B7,C20&lt;=C7),C20,0)</f>
        <v>80</v>
      </c>
      <c r="R7" s="34">
        <f>IF(AND(MAX(C43,C50)&gt;B7,MAX(C43,C50)&lt;=C7),MAX(C43,C50),0)</f>
        <v>100</v>
      </c>
      <c r="S7" s="37">
        <f>IF(Q7&gt;0,IF(Q7=B7,D7,IF(AND(Q7&gt;B7,Q7&lt;=C7),D6+(Q7-B7)*((D7-D6)/(C7-B7)),IF(Q7&gt;C7,D7,0))),0)</f>
        <v>26</v>
      </c>
      <c r="T7" s="35">
        <f>IF(R7&gt;0,IF(R7=B7,D7,IF(AND(R7&gt;B7,R7&lt;=C7),D6+(R7-B7)*((D7-D6)/(C7-B7)),IF(R7&gt;C7,D7,0))),0)</f>
        <v>30</v>
      </c>
      <c r="U7" s="38">
        <f>IF(C50 = 1,IF(AND(C53&gt;B7,C53&lt;=C7),C53,0),0)</f>
        <v>0</v>
      </c>
      <c r="V7" s="34">
        <f>IF(C50 = 1,IF(AND((MIN(C32,C42)-C39)&gt;B7,(MIN(C32,C42)-C39)&lt;=C7),(MIN(C32,C42)-C39),0),0)</f>
        <v>0</v>
      </c>
      <c r="W7" s="37">
        <f>IF(U7&gt;0,IF(U7=B7,D7,IF(AND(U7&gt;B7,U7&lt;=C7),D6+(U7-B7)*((D7-D6)/(C7-B7)),IF(U7&gt;C7,D7,0))),0)</f>
        <v>0</v>
      </c>
      <c r="X7" s="35">
        <f>IF(V7&gt;0,IF(V7=B7,D7,IF(AND(V7&gt;B7,V7&lt;=C7),D6+(V7-B7)*((D7-D6)/(C7-B7)),IF(V7&gt;C7,D7,0))),0)</f>
        <v>0</v>
      </c>
      <c r="Y7" s="38">
        <f>IF(C50 = 1,IF(AND(C54&gt;B7,C54&lt;=C7),C54,0),0)</f>
        <v>0</v>
      </c>
      <c r="Z7" s="34">
        <f>IF(C50 = 1,IF(AND((MIN(C32,C42)-C39)&gt;B7,(MIN(C32,C42)-C39)&lt;=C7),(MIN(C32,C42)-C39),0),0)</f>
        <v>0</v>
      </c>
      <c r="AA7" s="37">
        <f>IF(Y7&gt;0,IF(Y7=B7,D7,IF(AND(Y7&gt;B7,Y7&lt;=C7),D6+(Y7-B7)*((D7-D6)/(C7-B7)),IF(Y7&gt;C7,D7,0))),0)</f>
        <v>0</v>
      </c>
      <c r="AB7" s="35">
        <f>IF(Z7&gt;0,IF(Z7=B7,D7,IF(AND(Z7&gt;B7,Z7&lt;=C7),D6+(Z7-B7)*((D7-D6)/(C7-B7)),IF(Z7&gt;C7,D7,0))),0)</f>
        <v>0</v>
      </c>
    </row>
    <row r="8" spans="1:28" ht="15" thickBot="1" x14ac:dyDescent="0.25">
      <c r="J8" s="39"/>
    </row>
    <row r="9" spans="1:28" ht="15.75" thickBot="1" x14ac:dyDescent="0.3">
      <c r="A9" s="9" t="s">
        <v>1</v>
      </c>
      <c r="B9" s="9"/>
      <c r="C9" s="10"/>
      <c r="D9" s="10"/>
      <c r="E9" s="10"/>
      <c r="F9" s="11"/>
      <c r="G9" s="40"/>
      <c r="H9" s="6" t="s">
        <v>19</v>
      </c>
      <c r="I9" s="7"/>
      <c r="J9" s="7"/>
      <c r="K9" s="7"/>
      <c r="L9" s="7"/>
      <c r="M9" s="8"/>
      <c r="O9" s="6" t="s">
        <v>20</v>
      </c>
      <c r="P9" s="7"/>
      <c r="Q9" s="7"/>
      <c r="R9" s="7"/>
      <c r="S9" s="7"/>
      <c r="T9" s="8"/>
      <c r="V9" s="6" t="s">
        <v>21</v>
      </c>
      <c r="W9" s="7"/>
      <c r="X9" s="7"/>
      <c r="Y9" s="7"/>
      <c r="Z9" s="7"/>
      <c r="AA9" s="8"/>
    </row>
    <row r="10" spans="1:28" ht="30.75" thickBot="1" x14ac:dyDescent="0.3">
      <c r="A10" s="18" t="s">
        <v>8</v>
      </c>
      <c r="B10" s="13" t="s">
        <v>9</v>
      </c>
      <c r="C10" s="13" t="s">
        <v>10</v>
      </c>
      <c r="D10" s="13" t="s">
        <v>15</v>
      </c>
      <c r="E10" s="13" t="s">
        <v>16</v>
      </c>
      <c r="F10" s="5" t="s">
        <v>22</v>
      </c>
      <c r="G10" s="40"/>
      <c r="H10" s="41" t="s">
        <v>8</v>
      </c>
      <c r="I10" s="16" t="s">
        <v>9</v>
      </c>
      <c r="J10" s="16" t="s">
        <v>10</v>
      </c>
      <c r="K10" s="16" t="s">
        <v>15</v>
      </c>
      <c r="L10" s="16" t="s">
        <v>16</v>
      </c>
      <c r="M10" s="17" t="s">
        <v>22</v>
      </c>
      <c r="O10" s="41" t="s">
        <v>8</v>
      </c>
      <c r="P10" s="16" t="s">
        <v>9</v>
      </c>
      <c r="Q10" s="16" t="s">
        <v>10</v>
      </c>
      <c r="R10" s="16" t="s">
        <v>15</v>
      </c>
      <c r="S10" s="16" t="s">
        <v>16</v>
      </c>
      <c r="T10" s="17" t="s">
        <v>22</v>
      </c>
      <c r="V10" s="41" t="s">
        <v>8</v>
      </c>
      <c r="W10" s="16" t="s">
        <v>9</v>
      </c>
      <c r="X10" s="16" t="s">
        <v>10</v>
      </c>
      <c r="Y10" s="16" t="s">
        <v>15</v>
      </c>
      <c r="Z10" s="16" t="s">
        <v>16</v>
      </c>
      <c r="AA10" s="17" t="s">
        <v>22</v>
      </c>
    </row>
    <row r="11" spans="1:28" ht="15" x14ac:dyDescent="0.25">
      <c r="A11" s="20">
        <v>1</v>
      </c>
      <c r="B11" s="21">
        <v>0</v>
      </c>
      <c r="C11" s="21">
        <f>IF(AND(C20&gt;B5,C20&lt;C5),C20,IF(C20&gt;=C5,C5,0))</f>
        <v>50</v>
      </c>
      <c r="D11" s="24">
        <f>MIN(D5,F5)</f>
        <v>20</v>
      </c>
      <c r="E11" s="24">
        <f>IF(AND(C20&gt;B5,C20&lt;C5),G5,IF(C20&gt;=C5,D5,0))</f>
        <v>20</v>
      </c>
      <c r="F11" s="22">
        <f>(C11-B11)*(D11+E11)/2</f>
        <v>1000</v>
      </c>
      <c r="G11" s="42"/>
      <c r="H11" s="20">
        <v>1</v>
      </c>
      <c r="I11" s="21">
        <v>0</v>
      </c>
      <c r="J11" s="21">
        <f>IF(AND(C29&gt;B5,C29&lt;C5),C29,IF(C29&gt;=C5,C5,0))</f>
        <v>50</v>
      </c>
      <c r="K11" s="24">
        <f>MIN(D5,I5)</f>
        <v>20</v>
      </c>
      <c r="L11" s="24">
        <f>IF(AND(C29&gt;B5,C29&lt;C5),J5,IF(C29&gt;=C5,D5,0))</f>
        <v>20</v>
      </c>
      <c r="M11" s="22">
        <f>(J11-I11)*(K11+L11)/2</f>
        <v>1000</v>
      </c>
      <c r="O11" s="43">
        <v>1</v>
      </c>
      <c r="P11" s="44">
        <v>0</v>
      </c>
      <c r="Q11" s="44">
        <f>IF(AND(C31&gt;B5,C31&lt;C5),C31,IF(C31&gt;=C5,C5,0))</f>
        <v>50</v>
      </c>
      <c r="R11" s="24">
        <f>MIN(D5,L5)</f>
        <v>20</v>
      </c>
      <c r="S11" s="24">
        <f>IF(AND(C31&gt;B5,C31&lt;C5),M5,IF(C31&gt;=C5,D5,0))</f>
        <v>20</v>
      </c>
      <c r="T11" s="22">
        <f>(Q11-P11)*(R11+S11)/2</f>
        <v>1000</v>
      </c>
      <c r="V11" s="43">
        <v>1</v>
      </c>
      <c r="W11" s="44">
        <v>0</v>
      </c>
      <c r="X11" s="44">
        <f>IF(AND(C32&gt;B5,C32&lt;C5),C32,IF(C32&gt;=C5,C5,0))</f>
        <v>50</v>
      </c>
      <c r="Y11" s="24">
        <f>MIN(D5,O5)</f>
        <v>20</v>
      </c>
      <c r="Z11" s="24">
        <f>IF(AND(C32&gt;B5,C32&lt;B5),P5,IF(C32&gt;=B5,D5,0))</f>
        <v>20</v>
      </c>
      <c r="AA11" s="22">
        <f>(X11-W11)*(Y11+Z11)/2</f>
        <v>1000</v>
      </c>
    </row>
    <row r="12" spans="1:28" ht="15" x14ac:dyDescent="0.25">
      <c r="A12" s="27">
        <v>2</v>
      </c>
      <c r="B12" s="28">
        <f>IF(C20&gt;B6,C11,0)</f>
        <v>50</v>
      </c>
      <c r="C12" s="28">
        <f>IF(AND(C20&gt;B6,C20&lt;C6),C20,IF(C20&gt;=C6,C6,0))</f>
        <v>75</v>
      </c>
      <c r="D12" s="31">
        <f>IF(B12&lt;&gt;0,E11,0)</f>
        <v>20</v>
      </c>
      <c r="E12" s="31">
        <f>IF(AND(C20&gt;B6,C20&lt;C6),G6,IF(C20&gt;=C6,D6,0))</f>
        <v>25</v>
      </c>
      <c r="F12" s="29">
        <f>(C12-B12)*(D12+E12)/2</f>
        <v>562.5</v>
      </c>
      <c r="G12" s="45"/>
      <c r="H12" s="27">
        <v>2</v>
      </c>
      <c r="I12" s="28">
        <f>IF(C29&gt;B6,J11,0)</f>
        <v>50</v>
      </c>
      <c r="J12" s="28">
        <f>IF(AND(C29&gt;B6,C29&lt;C6),C29,IF(C29&gt;=C6,C6,0))</f>
        <v>75</v>
      </c>
      <c r="K12" s="31">
        <f>IF(I12&lt;&gt;0,L11,0)</f>
        <v>20</v>
      </c>
      <c r="L12" s="31">
        <f>IF(AND(C29&gt;B6,C29&lt;C6),J6,IF(C29&gt;=C6,D6,0))</f>
        <v>25</v>
      </c>
      <c r="M12" s="29">
        <f>(J12-I12)*(K12+L12)/2</f>
        <v>562.5</v>
      </c>
      <c r="O12" s="46">
        <v>2</v>
      </c>
      <c r="P12" s="47">
        <f>IF(C31&gt;B6,Q11,0)</f>
        <v>50</v>
      </c>
      <c r="Q12" s="47">
        <f>IF(AND(C31&gt;B6,C31&lt;C6),C31,IF(C31&gt;=C6,C6,0))</f>
        <v>75</v>
      </c>
      <c r="R12" s="31">
        <f>IF(P12&lt;&gt;0,S11,0)</f>
        <v>20</v>
      </c>
      <c r="S12" s="31">
        <f>IF(AND(C31&gt;B6,C31&lt;C6),M6,IF(C31&gt;=C6,D6,0))</f>
        <v>25</v>
      </c>
      <c r="T12" s="29">
        <f>(Q12-P12)*(R12+S12)/2</f>
        <v>562.5</v>
      </c>
      <c r="V12" s="46">
        <v>2</v>
      </c>
      <c r="W12" s="47">
        <f>IF(C32&gt;B6,X11,0)</f>
        <v>50</v>
      </c>
      <c r="X12" s="47">
        <f>IF(AND(C32&gt;B6,C32&lt;C6),C32,IF(C32&gt;=C6,C6,0))</f>
        <v>75</v>
      </c>
      <c r="Y12" s="31">
        <f>IF(W12&lt;&gt;0,Z11,0)</f>
        <v>20</v>
      </c>
      <c r="Z12" s="31">
        <f>IF(AND(C32&gt;B6,C32&lt;C6),P6,IF(C32&gt;=C6,D6,0))</f>
        <v>25</v>
      </c>
      <c r="AA12" s="29">
        <f>(X12-W12)*(Y12+Z12)/2</f>
        <v>562.5</v>
      </c>
    </row>
    <row r="13" spans="1:28" ht="15" x14ac:dyDescent="0.25">
      <c r="A13" s="27">
        <v>3</v>
      </c>
      <c r="B13" s="28">
        <f>IF(C20&gt;B7,C12,0)</f>
        <v>75</v>
      </c>
      <c r="C13" s="28">
        <f>IF(AND(C20&gt;B7,C20&lt;C7),C20,IF(C20&gt;=C7,C7,0))</f>
        <v>80</v>
      </c>
      <c r="D13" s="31">
        <f>IF(B13&lt;&gt;0,E12,0)</f>
        <v>25</v>
      </c>
      <c r="E13" s="31">
        <f>IF(AND(C20&gt;B7,C20&lt;C7),G7,IF(C20&gt;=C7,D7,0))</f>
        <v>26</v>
      </c>
      <c r="F13" s="29">
        <f>(C13-B13)*(D13+E13)/2</f>
        <v>127.5</v>
      </c>
      <c r="G13" s="45"/>
      <c r="H13" s="27">
        <v>3</v>
      </c>
      <c r="I13" s="28">
        <f>IF(C29&gt;B7,J12,0)</f>
        <v>75</v>
      </c>
      <c r="J13" s="28">
        <f>IF(AND(C29&gt;B7,C29&lt;C7),C29,IF(C29&gt;=C7,C7,0))</f>
        <v>95</v>
      </c>
      <c r="K13" s="31">
        <f>IF(I13&lt;&gt;0,L12,0)</f>
        <v>25</v>
      </c>
      <c r="L13" s="31">
        <f>IF(AND(C29&gt;B7,C29&lt;C7),J7,IF(C29&gt;=C7,D7,0))</f>
        <v>29</v>
      </c>
      <c r="M13" s="29">
        <f>(J13-I13)*(K13+L13)/2</f>
        <v>540</v>
      </c>
      <c r="O13" s="46">
        <v>3</v>
      </c>
      <c r="P13" s="47">
        <f>IF(C31&gt;B7,Q12,0)</f>
        <v>75</v>
      </c>
      <c r="Q13" s="47">
        <f>IF(AND(C31&gt;B7,C31&lt;C7),C31,IF(C31&gt;=C7,C7,0))</f>
        <v>100</v>
      </c>
      <c r="R13" s="31">
        <f>IF(P13&lt;&gt;0,S12,0)</f>
        <v>25</v>
      </c>
      <c r="S13" s="31">
        <f>IF(AND(C31&gt;B7,C31&lt;C7),M7,IF(C31&gt;=C7,D7,0))</f>
        <v>30</v>
      </c>
      <c r="T13" s="29">
        <f>(Q13-P13)*(R13+S13)/2</f>
        <v>687.5</v>
      </c>
      <c r="V13" s="46">
        <v>3</v>
      </c>
      <c r="W13" s="47">
        <f>IF(C32&gt;B7,X12,0)</f>
        <v>75</v>
      </c>
      <c r="X13" s="47">
        <f>IF(AND(C32&gt;B7,C32&lt;C7),C32,IF(C32&gt;=C7,C7,0))</f>
        <v>100</v>
      </c>
      <c r="Y13" s="31">
        <f>IF(W13&lt;&gt;0,Z12,0)</f>
        <v>25</v>
      </c>
      <c r="Z13" s="31">
        <f>IF(AND(C32&gt;B7,C32&lt;C7),P7,IF(C32&gt;=C7,D7,0))</f>
        <v>30</v>
      </c>
      <c r="AA13" s="29">
        <f>(X13-W13)*(Y13+Z13)/2</f>
        <v>687.5</v>
      </c>
    </row>
    <row r="14" spans="1:28" ht="15" x14ac:dyDescent="0.25">
      <c r="A14" s="27">
        <v>4</v>
      </c>
      <c r="B14" s="28">
        <f>IF(C20&gt;C7,C13,0)</f>
        <v>0</v>
      </c>
      <c r="C14" s="28">
        <f>IF(C20&gt;C7,C20,0)</f>
        <v>0</v>
      </c>
      <c r="D14" s="31">
        <f>IF(B14&lt;&gt;0,E13,0)</f>
        <v>0</v>
      </c>
      <c r="E14" s="31">
        <f>IF(C20&gt;C7,D7,0)</f>
        <v>0</v>
      </c>
      <c r="F14" s="29">
        <f>(C14-B14)*(D14+E14)/2</f>
        <v>0</v>
      </c>
      <c r="G14" s="45"/>
      <c r="H14" s="27">
        <v>4</v>
      </c>
      <c r="I14" s="28">
        <f>IF(C29&gt;C7,J13,0)</f>
        <v>0</v>
      </c>
      <c r="J14" s="28">
        <f>IF(C29&gt;C7,C29,0)</f>
        <v>0</v>
      </c>
      <c r="K14" s="31">
        <f>IF(I14&lt;&gt;0,L13,0)</f>
        <v>0</v>
      </c>
      <c r="L14" s="31">
        <f>IF(J14&gt;0,IF(C29&gt;=C7,J7,IF(AND(C29&gt;B7,C29&lt;C7),J7,0)),0)</f>
        <v>0</v>
      </c>
      <c r="M14" s="29">
        <f>(J14-I14)*(K14+L14)/2</f>
        <v>0</v>
      </c>
      <c r="O14" s="46">
        <v>4</v>
      </c>
      <c r="P14" s="47">
        <f>IF(C31&gt;C7,Q13,0)</f>
        <v>0</v>
      </c>
      <c r="Q14" s="47">
        <f>IF(C31&gt;C7,C31,0)</f>
        <v>0</v>
      </c>
      <c r="R14" s="31">
        <f>IF(P14&lt;&gt;0,S13,0)</f>
        <v>0</v>
      </c>
      <c r="S14" s="31">
        <f>IF(Q14&gt;0,IF(C31&gt;=C7,J7,IF(AND(C31&gt;B7,C31&lt;C7),J7,0)),0)</f>
        <v>0</v>
      </c>
      <c r="T14" s="29">
        <f>(Q14-P14)*(R14+S14)/2</f>
        <v>0</v>
      </c>
      <c r="V14" s="46">
        <v>4</v>
      </c>
      <c r="W14" s="47">
        <f>IF(C32&gt;C7,X13,0)</f>
        <v>0</v>
      </c>
      <c r="X14" s="47">
        <f>IF(C32&gt;C7,C32,IF(AND(C32&gt;C7,C32&lt;C7),C32,0))</f>
        <v>0</v>
      </c>
      <c r="Y14" s="31">
        <f>IF(W14&lt;&gt;0,Z13,0)</f>
        <v>0</v>
      </c>
      <c r="Z14" s="31">
        <f>IF(X14&gt;0,IF(C32&gt;=C7,P7,IF(AND(C32&gt;B7,C32&lt;C7),P7,0)),0)</f>
        <v>0</v>
      </c>
      <c r="AA14" s="29">
        <f>(X14-W14)*(Y14+Z14)/2</f>
        <v>0</v>
      </c>
    </row>
    <row r="15" spans="1:28" ht="15" thickBot="1" x14ac:dyDescent="0.25">
      <c r="A15" s="38"/>
      <c r="B15" s="34"/>
      <c r="C15" s="34"/>
      <c r="D15" s="48"/>
      <c r="E15" s="48"/>
      <c r="F15" s="49">
        <f>SUM(F11:F14)</f>
        <v>1690</v>
      </c>
      <c r="G15" s="50"/>
      <c r="H15" s="38"/>
      <c r="I15" s="34"/>
      <c r="J15" s="34"/>
      <c r="K15" s="48"/>
      <c r="L15" s="48"/>
      <c r="M15" s="49">
        <f>SUM(M11:M14)</f>
        <v>2102.5</v>
      </c>
      <c r="O15" s="51"/>
      <c r="P15" s="52"/>
      <c r="Q15" s="52"/>
      <c r="R15" s="52"/>
      <c r="S15" s="52"/>
      <c r="T15" s="49">
        <f>SUM(T11:T14)</f>
        <v>2250</v>
      </c>
      <c r="V15" s="51"/>
      <c r="W15" s="52"/>
      <c r="X15" s="52"/>
      <c r="Y15" s="52"/>
      <c r="Z15" s="52"/>
      <c r="AA15" s="49">
        <f>SUM(AA11:AA14)</f>
        <v>2250</v>
      </c>
    </row>
    <row r="16" spans="1:28" ht="15" thickBot="1" x14ac:dyDescent="0.25">
      <c r="A16" s="28"/>
      <c r="B16" s="28"/>
      <c r="C16" s="28"/>
      <c r="D16" s="204"/>
      <c r="E16" s="204"/>
      <c r="F16" s="31"/>
      <c r="G16" s="123"/>
      <c r="H16" s="28"/>
      <c r="I16" s="28"/>
      <c r="J16" s="28"/>
      <c r="K16" s="204"/>
      <c r="L16" s="204"/>
      <c r="M16" s="31"/>
      <c r="O16" s="205"/>
      <c r="P16" s="205"/>
      <c r="Q16" s="205"/>
      <c r="R16" s="205"/>
      <c r="S16" s="205"/>
      <c r="T16" s="31"/>
      <c r="V16" s="205"/>
      <c r="W16" s="205"/>
      <c r="X16" s="205"/>
      <c r="Y16" s="205"/>
      <c r="Z16" s="205"/>
      <c r="AA16" s="31"/>
    </row>
    <row r="17" spans="1:54" ht="15" thickBot="1" x14ac:dyDescent="0.25">
      <c r="M17" s="221"/>
      <c r="N17" s="222"/>
      <c r="O17" s="222"/>
      <c r="P17" s="222"/>
      <c r="Q17" s="222"/>
      <c r="R17" s="222"/>
      <c r="S17" s="222"/>
      <c r="T17" s="222"/>
      <c r="U17" s="222"/>
      <c r="V17" s="222"/>
      <c r="W17" s="222"/>
      <c r="X17" s="222"/>
      <c r="Y17" s="222"/>
      <c r="Z17" s="222"/>
      <c r="AA17" s="217"/>
      <c r="AB17" s="246"/>
      <c r="AC17" s="247"/>
      <c r="AD17" s="247"/>
      <c r="AE17" s="247"/>
      <c r="AF17" s="247"/>
      <c r="AG17" s="247"/>
      <c r="AH17" s="247"/>
      <c r="AI17" s="247"/>
      <c r="AJ17" s="247"/>
      <c r="AK17" s="247"/>
      <c r="AL17" s="247"/>
      <c r="AM17" s="247"/>
      <c r="AN17" s="247"/>
      <c r="AO17" s="247"/>
      <c r="AP17" s="248"/>
    </row>
    <row r="18" spans="1:54" ht="15.75" thickBot="1" x14ac:dyDescent="0.3">
      <c r="A18" s="53" t="s">
        <v>23</v>
      </c>
      <c r="B18" s="54"/>
      <c r="C18" s="54"/>
      <c r="D18" s="54"/>
      <c r="E18" s="55"/>
      <c r="F18" s="57" t="s">
        <v>25</v>
      </c>
      <c r="G18" s="58"/>
      <c r="H18" s="58"/>
      <c r="I18" s="58"/>
      <c r="J18" s="57"/>
      <c r="K18" s="59"/>
      <c r="L18" s="174"/>
      <c r="M18" s="229"/>
      <c r="N18" s="57" t="s">
        <v>26</v>
      </c>
      <c r="O18" s="58"/>
      <c r="P18" s="58"/>
      <c r="Q18" s="58"/>
      <c r="R18" s="58"/>
      <c r="S18" s="59"/>
      <c r="T18" s="223"/>
      <c r="U18" s="57" t="s">
        <v>92</v>
      </c>
      <c r="V18" s="58"/>
      <c r="W18" s="58"/>
      <c r="X18" s="58"/>
      <c r="Y18" s="58"/>
      <c r="Z18" s="60"/>
      <c r="AA18" s="218"/>
      <c r="AB18" s="249"/>
      <c r="AC18" s="57" t="s">
        <v>27</v>
      </c>
      <c r="AD18" s="58"/>
      <c r="AE18" s="58"/>
      <c r="AF18" s="58"/>
      <c r="AG18" s="58"/>
      <c r="AH18" s="59"/>
      <c r="AI18" s="251"/>
      <c r="AJ18" s="57" t="s">
        <v>95</v>
      </c>
      <c r="AK18" s="58"/>
      <c r="AL18" s="58"/>
      <c r="AM18" s="58"/>
      <c r="AN18" s="58"/>
      <c r="AO18" s="60"/>
      <c r="AP18" s="259"/>
      <c r="AQ18" s="96"/>
      <c r="AR18" s="96"/>
      <c r="AS18" s="96"/>
      <c r="AT18" s="96"/>
      <c r="AU18" s="78"/>
    </row>
    <row r="19" spans="1:54" ht="15.75" thickBot="1" x14ac:dyDescent="0.3">
      <c r="A19" s="61" t="s">
        <v>28</v>
      </c>
      <c r="B19" s="62"/>
      <c r="C19" s="63"/>
      <c r="D19" s="63"/>
      <c r="E19" s="206"/>
      <c r="F19" s="57" t="s">
        <v>29</v>
      </c>
      <c r="G19" s="58"/>
      <c r="H19" s="58"/>
      <c r="I19" s="57"/>
      <c r="J19" s="58" t="s">
        <v>30</v>
      </c>
      <c r="K19" s="66"/>
      <c r="L19" s="67"/>
      <c r="M19" s="230"/>
      <c r="N19" s="68" t="s">
        <v>29</v>
      </c>
      <c r="O19" s="69"/>
      <c r="P19" s="69"/>
      <c r="Q19" s="68"/>
      <c r="R19" s="69" t="s">
        <v>30</v>
      </c>
      <c r="S19" s="70"/>
      <c r="T19" s="224"/>
      <c r="U19" s="57" t="s">
        <v>29</v>
      </c>
      <c r="V19" s="58"/>
      <c r="W19" s="58"/>
      <c r="X19" s="57"/>
      <c r="Y19" s="66" t="s">
        <v>30</v>
      </c>
      <c r="Z19" s="66"/>
      <c r="AA19" s="218"/>
      <c r="AB19" s="249"/>
      <c r="AC19" s="68" t="s">
        <v>29</v>
      </c>
      <c r="AD19" s="69"/>
      <c r="AE19" s="69"/>
      <c r="AF19" s="68"/>
      <c r="AG19" s="69" t="s">
        <v>30</v>
      </c>
      <c r="AH19" s="70"/>
      <c r="AI19" s="251"/>
      <c r="AJ19" s="57" t="s">
        <v>29</v>
      </c>
      <c r="AK19" s="58"/>
      <c r="AL19" s="58"/>
      <c r="AM19" s="57"/>
      <c r="AN19" s="66" t="s">
        <v>30</v>
      </c>
      <c r="AO19" s="66"/>
      <c r="AP19" s="260"/>
      <c r="AQ19" s="67"/>
      <c r="AR19" s="67"/>
      <c r="AS19" s="67"/>
      <c r="AT19" s="67"/>
      <c r="AU19" s="78"/>
    </row>
    <row r="20" spans="1:54" ht="15" x14ac:dyDescent="0.25">
      <c r="A20" s="71" t="s">
        <v>12</v>
      </c>
      <c r="B20" s="72"/>
      <c r="C20" s="73">
        <v>80</v>
      </c>
      <c r="D20" s="74"/>
      <c r="E20" s="157"/>
      <c r="F20" s="187" t="s">
        <v>32</v>
      </c>
      <c r="G20" s="80"/>
      <c r="H20" s="80"/>
      <c r="I20" s="80"/>
      <c r="J20" s="81">
        <f>C39*C40</f>
        <v>500</v>
      </c>
      <c r="K20" s="82"/>
      <c r="L20" s="96"/>
      <c r="M20" s="227"/>
      <c r="N20" s="187" t="s">
        <v>33</v>
      </c>
      <c r="O20" s="80"/>
      <c r="P20" s="80"/>
      <c r="Q20" s="80"/>
      <c r="R20" s="81">
        <f>(C47-C39)*C49</f>
        <v>-400</v>
      </c>
      <c r="S20" s="82"/>
      <c r="T20" s="214"/>
      <c r="U20" s="187"/>
      <c r="V20" s="80"/>
      <c r="W20" s="80"/>
      <c r="X20" s="80"/>
      <c r="Y20" s="80"/>
      <c r="Z20" s="84"/>
      <c r="AA20" s="219"/>
      <c r="AB20" s="249"/>
      <c r="AC20" s="187" t="s">
        <v>33</v>
      </c>
      <c r="AD20" s="278"/>
      <c r="AE20" s="278"/>
      <c r="AF20" s="278"/>
      <c r="AG20" s="81">
        <f>(C48-C39)*C49</f>
        <v>-400</v>
      </c>
      <c r="AH20" s="82"/>
      <c r="AI20" s="251"/>
      <c r="AJ20" s="187"/>
      <c r="AK20" s="80"/>
      <c r="AL20" s="80"/>
      <c r="AM20" s="80"/>
      <c r="AN20" s="80"/>
      <c r="AO20" s="84"/>
      <c r="AP20" s="261"/>
      <c r="AQ20" s="176"/>
      <c r="AR20" s="176"/>
      <c r="AS20" s="176"/>
      <c r="AT20" s="144"/>
      <c r="AU20" s="78"/>
    </row>
    <row r="21" spans="1:54" ht="15" x14ac:dyDescent="0.25">
      <c r="A21" s="85" t="s">
        <v>34</v>
      </c>
      <c r="B21" s="86"/>
      <c r="C21" s="87">
        <v>45</v>
      </c>
      <c r="D21" s="88"/>
      <c r="E21" s="207"/>
      <c r="F21" s="183"/>
      <c r="G21" s="93"/>
      <c r="H21" s="93"/>
      <c r="I21" s="93"/>
      <c r="J21" s="94"/>
      <c r="K21" s="95"/>
      <c r="L21" s="96"/>
      <c r="M21" s="227"/>
      <c r="N21" s="183"/>
      <c r="O21" s="93"/>
      <c r="P21" s="93"/>
      <c r="Q21" s="93"/>
      <c r="R21" s="94"/>
      <c r="S21" s="95"/>
      <c r="T21" s="214"/>
      <c r="U21" s="179" t="s">
        <v>35</v>
      </c>
      <c r="V21" s="100"/>
      <c r="W21" s="100"/>
      <c r="X21" s="100"/>
      <c r="Y21" s="147">
        <f>R34</f>
        <v>3600</v>
      </c>
      <c r="Z21" s="97"/>
      <c r="AA21" s="219"/>
      <c r="AB21" s="249"/>
      <c r="AC21" s="92"/>
      <c r="AD21" s="93"/>
      <c r="AE21" s="93"/>
      <c r="AF21" s="93"/>
      <c r="AG21" s="94"/>
      <c r="AH21" s="95"/>
      <c r="AI21" s="251"/>
      <c r="AJ21" s="179" t="s">
        <v>35</v>
      </c>
      <c r="AK21" s="100"/>
      <c r="AL21" s="100"/>
      <c r="AM21" s="100"/>
      <c r="AN21" s="147">
        <f>AG34</f>
        <v>3600</v>
      </c>
      <c r="AO21" s="97"/>
      <c r="AP21" s="262"/>
      <c r="AQ21" s="67"/>
      <c r="AR21" s="67"/>
      <c r="AS21" s="67"/>
      <c r="AT21" s="144"/>
      <c r="AU21" s="78"/>
    </row>
    <row r="22" spans="1:54" ht="15" x14ac:dyDescent="0.25">
      <c r="A22" s="85" t="s">
        <v>36</v>
      </c>
      <c r="B22" s="86"/>
      <c r="C22" s="87">
        <v>0</v>
      </c>
      <c r="D22" s="88"/>
      <c r="E22" s="207"/>
      <c r="F22" s="179" t="s">
        <v>37</v>
      </c>
      <c r="G22" s="100"/>
      <c r="H22" s="100"/>
      <c r="I22" s="100"/>
      <c r="J22" s="94">
        <f>IF(C41 = 1,MAX(MAX(R5:R7)-MAX(Q5:Q7),0)* MAX((C21- (MAX(S5:S7)+MAX(T5:T7))/2),0),0)</f>
        <v>340</v>
      </c>
      <c r="K22" s="95"/>
      <c r="L22" s="96"/>
      <c r="M22" s="227"/>
      <c r="N22" s="179" t="s">
        <v>38</v>
      </c>
      <c r="O22" s="100"/>
      <c r="P22" s="100"/>
      <c r="Q22" s="100"/>
      <c r="R22" s="94">
        <f>IF(C50 = 1,MAX(MAX(V5:V7)-MAX(U5:U7),0)* MAX((C30- (MAX(W5:W7)+MAX(X5:X7))/2),0),0)</f>
        <v>0</v>
      </c>
      <c r="S22" s="95"/>
      <c r="T22" s="214"/>
      <c r="U22" s="179"/>
      <c r="V22" s="100"/>
      <c r="W22" s="100"/>
      <c r="X22" s="100"/>
      <c r="Y22" s="173"/>
      <c r="Z22" s="97"/>
      <c r="AA22" s="219"/>
      <c r="AB22" s="249"/>
      <c r="AC22" s="92" t="s">
        <v>38</v>
      </c>
      <c r="AD22" s="93"/>
      <c r="AE22" s="93"/>
      <c r="AF22" s="93"/>
      <c r="AG22" s="94">
        <f>IF(C50 = 1,MAX(MAX(Z5:Z7)-MAX(Y5:Y7),0)* MAX((C30- (MAX(AA5:AA7)+MAX(AB5:AB7))/2),0),0)</f>
        <v>0</v>
      </c>
      <c r="AH22" s="95"/>
      <c r="AI22" s="251"/>
      <c r="AJ22" s="179"/>
      <c r="AK22" s="100"/>
      <c r="AL22" s="100"/>
      <c r="AM22" s="100"/>
      <c r="AN22" s="173"/>
      <c r="AO22" s="97"/>
      <c r="AP22" s="261"/>
      <c r="AQ22" s="176"/>
      <c r="AR22" s="176"/>
      <c r="AS22" s="176"/>
      <c r="AT22" s="144"/>
      <c r="AU22" s="78"/>
    </row>
    <row r="23" spans="1:54" ht="15" x14ac:dyDescent="0.25">
      <c r="A23" s="85" t="s">
        <v>39</v>
      </c>
      <c r="B23" s="86"/>
      <c r="C23" s="87">
        <v>0</v>
      </c>
      <c r="D23" s="88"/>
      <c r="E23" s="207"/>
      <c r="F23" s="185"/>
      <c r="G23" s="93"/>
      <c r="H23" s="93"/>
      <c r="I23" s="93"/>
      <c r="J23" s="94"/>
      <c r="K23" s="95"/>
      <c r="L23" s="96"/>
      <c r="M23" s="227"/>
      <c r="N23" s="179" t="s">
        <v>98</v>
      </c>
      <c r="O23" s="100"/>
      <c r="P23" s="100"/>
      <c r="Q23" s="100"/>
      <c r="R23" s="94">
        <f>IF(C55=1,MAX(MIN(R20*-1,(J22+R22)-(J20+R20)-MAX(J22-J20,0)),0),0)</f>
        <v>0</v>
      </c>
      <c r="S23" s="95"/>
      <c r="T23" s="277"/>
      <c r="U23" s="179" t="s">
        <v>41</v>
      </c>
      <c r="V23" s="100"/>
      <c r="W23" s="100"/>
      <c r="X23" s="100"/>
      <c r="Y23" s="147">
        <f>R38</f>
        <v>940</v>
      </c>
      <c r="Z23" s="97"/>
      <c r="AA23" s="219"/>
      <c r="AB23" s="294"/>
      <c r="AC23" s="179" t="s">
        <v>98</v>
      </c>
      <c r="AD23" s="93"/>
      <c r="AE23" s="93"/>
      <c r="AF23" s="93"/>
      <c r="AG23" s="94">
        <f>R23</f>
        <v>0</v>
      </c>
      <c r="AH23" s="95"/>
      <c r="AI23" s="251"/>
      <c r="AJ23" s="179" t="s">
        <v>41</v>
      </c>
      <c r="AK23" s="100"/>
      <c r="AL23" s="100"/>
      <c r="AM23" s="100"/>
      <c r="AN23" s="147">
        <f>AG38</f>
        <v>705</v>
      </c>
      <c r="AO23" s="97"/>
      <c r="AP23" s="260"/>
      <c r="AQ23" s="67"/>
      <c r="AR23" s="67"/>
      <c r="AS23" s="67"/>
      <c r="AT23" s="144"/>
      <c r="AU23" s="78"/>
    </row>
    <row r="24" spans="1:54" ht="15" x14ac:dyDescent="0.25">
      <c r="A24" s="105" t="s">
        <v>42</v>
      </c>
      <c r="B24" s="106"/>
      <c r="C24" s="107">
        <v>50</v>
      </c>
      <c r="D24" s="108"/>
      <c r="E24" s="157"/>
      <c r="F24" s="183"/>
      <c r="G24" s="100"/>
      <c r="H24" s="100"/>
      <c r="I24" s="100"/>
      <c r="J24" s="94"/>
      <c r="K24" s="95"/>
      <c r="L24" s="96"/>
      <c r="M24" s="227"/>
      <c r="N24" s="179" t="s">
        <v>91</v>
      </c>
      <c r="O24" s="100"/>
      <c r="P24" s="100"/>
      <c r="Q24" s="100"/>
      <c r="R24" s="94">
        <f>IF(AND(C47&lt;C39,C55=0),MAX(MIN((J20+R20-J22)*-1,(R38-(R41-J36))),0),0)</f>
        <v>240</v>
      </c>
      <c r="S24" s="95"/>
      <c r="T24" s="277"/>
      <c r="U24" s="179"/>
      <c r="V24" s="100"/>
      <c r="W24" s="100"/>
      <c r="X24" s="100"/>
      <c r="Y24" s="173"/>
      <c r="Z24" s="97"/>
      <c r="AA24" s="219"/>
      <c r="AB24" s="294"/>
      <c r="AC24" s="92" t="s">
        <v>94</v>
      </c>
      <c r="AD24" s="93"/>
      <c r="AE24" s="93"/>
      <c r="AF24" s="93"/>
      <c r="AG24" s="94">
        <f>R24</f>
        <v>240</v>
      </c>
      <c r="AH24" s="95"/>
      <c r="AI24" s="251"/>
      <c r="AJ24" s="179"/>
      <c r="AK24" s="100"/>
      <c r="AL24" s="100"/>
      <c r="AM24" s="100"/>
      <c r="AN24" s="173"/>
      <c r="AO24" s="97"/>
      <c r="AP24" s="261"/>
      <c r="AQ24" s="176"/>
      <c r="AR24" s="176"/>
      <c r="AS24" s="176"/>
      <c r="AT24" s="144"/>
      <c r="AU24" s="78"/>
    </row>
    <row r="25" spans="1:54" ht="15.75" thickBot="1" x14ac:dyDescent="0.3">
      <c r="A25" s="109" t="s">
        <v>44</v>
      </c>
      <c r="B25" s="110"/>
      <c r="C25" s="111">
        <v>100</v>
      </c>
      <c r="D25" s="112"/>
      <c r="E25" s="157"/>
      <c r="F25" s="186"/>
      <c r="G25" s="93"/>
      <c r="H25" s="93"/>
      <c r="I25" s="93"/>
      <c r="J25" s="94"/>
      <c r="K25" s="95"/>
      <c r="L25" s="96"/>
      <c r="M25" s="227"/>
      <c r="N25" s="179" t="s">
        <v>107</v>
      </c>
      <c r="O25" s="100"/>
      <c r="P25" s="100"/>
      <c r="Q25" s="100"/>
      <c r="R25" s="94">
        <f>MAX(J22-R23+R22-J20-R20-R24,0)</f>
        <v>0</v>
      </c>
      <c r="S25" s="95"/>
      <c r="T25" s="214"/>
      <c r="U25" s="179" t="s">
        <v>46</v>
      </c>
      <c r="V25" s="100"/>
      <c r="W25" s="100"/>
      <c r="X25" s="100"/>
      <c r="Y25" s="147">
        <f>R28</f>
        <v>100</v>
      </c>
      <c r="Z25" s="113"/>
      <c r="AA25" s="220"/>
      <c r="AB25" s="249"/>
      <c r="AC25" s="92" t="s">
        <v>45</v>
      </c>
      <c r="AD25" s="93"/>
      <c r="AE25" s="93"/>
      <c r="AF25" s="93"/>
      <c r="AG25" s="94">
        <f>MAX(J22-AG23+AG22-(J20+AG20)-AG24,0)</f>
        <v>0</v>
      </c>
      <c r="AH25" s="95"/>
      <c r="AI25" s="251"/>
      <c r="AJ25" s="179" t="s">
        <v>46</v>
      </c>
      <c r="AK25" s="100"/>
      <c r="AL25" s="100"/>
      <c r="AM25" s="100"/>
      <c r="AN25" s="147">
        <f>AG28</f>
        <v>100</v>
      </c>
      <c r="AO25" s="113"/>
      <c r="AP25" s="262"/>
      <c r="AQ25" s="67"/>
      <c r="AR25" s="67"/>
      <c r="AS25" s="67"/>
      <c r="AT25" s="177"/>
      <c r="AU25" s="78"/>
    </row>
    <row r="26" spans="1:54" ht="15" x14ac:dyDescent="0.25">
      <c r="C26" s="103"/>
      <c r="D26" s="103"/>
      <c r="E26" s="208"/>
      <c r="F26" s="183"/>
      <c r="G26" s="100"/>
      <c r="H26" s="100"/>
      <c r="I26" s="100"/>
      <c r="J26" s="94"/>
      <c r="K26" s="95"/>
      <c r="L26" s="96"/>
      <c r="M26" s="231"/>
      <c r="N26" s="183"/>
      <c r="O26" s="100"/>
      <c r="P26" s="100"/>
      <c r="Q26" s="100"/>
      <c r="R26" s="94"/>
      <c r="S26" s="95"/>
      <c r="T26" s="214"/>
      <c r="U26" s="179"/>
      <c r="V26" s="100"/>
      <c r="W26" s="100"/>
      <c r="X26" s="100"/>
      <c r="Y26" s="100"/>
      <c r="Z26" s="97"/>
      <c r="AA26" s="219"/>
      <c r="AB26" s="249"/>
      <c r="AC26" s="92"/>
      <c r="AD26" s="93"/>
      <c r="AE26" s="93"/>
      <c r="AF26" s="93"/>
      <c r="AG26" s="94"/>
      <c r="AH26" s="95"/>
      <c r="AI26" s="251"/>
      <c r="AJ26" s="179"/>
      <c r="AK26" s="100"/>
      <c r="AL26" s="100"/>
      <c r="AM26" s="100"/>
      <c r="AN26" s="100"/>
      <c r="AO26" s="97"/>
      <c r="AP26" s="261"/>
      <c r="AQ26" s="176"/>
      <c r="AR26" s="176"/>
      <c r="AS26" s="176"/>
      <c r="AT26" s="144"/>
      <c r="AU26" s="78"/>
    </row>
    <row r="27" spans="1:54" ht="15.75" thickBot="1" x14ac:dyDescent="0.3">
      <c r="A27" s="53" t="s">
        <v>23</v>
      </c>
      <c r="B27" s="54"/>
      <c r="C27" s="54"/>
      <c r="D27" s="54"/>
      <c r="E27" s="55"/>
      <c r="F27" s="186"/>
      <c r="G27" s="93"/>
      <c r="H27" s="93"/>
      <c r="I27" s="93"/>
      <c r="J27" s="94"/>
      <c r="K27" s="95"/>
      <c r="L27" s="96"/>
      <c r="M27" s="231"/>
      <c r="N27" s="186"/>
      <c r="O27" s="93"/>
      <c r="P27" s="93"/>
      <c r="Q27" s="93"/>
      <c r="R27" s="94"/>
      <c r="S27" s="95"/>
      <c r="T27" s="214"/>
      <c r="U27" s="104"/>
      <c r="V27" s="93"/>
      <c r="W27" s="93"/>
      <c r="X27" s="93"/>
      <c r="Y27" s="93"/>
      <c r="Z27" s="97"/>
      <c r="AA27" s="219"/>
      <c r="AB27" s="249"/>
      <c r="AC27" s="92"/>
      <c r="AD27" s="93"/>
      <c r="AE27" s="93"/>
      <c r="AF27" s="93"/>
      <c r="AG27" s="94"/>
      <c r="AH27" s="95"/>
      <c r="AI27" s="251"/>
      <c r="AJ27" s="104"/>
      <c r="AK27" s="93"/>
      <c r="AL27" s="93"/>
      <c r="AM27" s="93"/>
      <c r="AN27" s="93"/>
      <c r="AO27" s="97"/>
      <c r="AP27" s="262"/>
      <c r="AQ27" s="67"/>
      <c r="AR27" s="67"/>
      <c r="AS27" s="67"/>
      <c r="AT27" s="144"/>
      <c r="AU27" s="78"/>
    </row>
    <row r="28" spans="1:54" ht="15.75" thickBot="1" x14ac:dyDescent="0.3">
      <c r="A28" s="61" t="s">
        <v>48</v>
      </c>
      <c r="B28" s="116"/>
      <c r="C28" s="117"/>
      <c r="D28" s="117"/>
      <c r="E28" s="209"/>
      <c r="F28" s="179" t="s">
        <v>50</v>
      </c>
      <c r="G28" s="100"/>
      <c r="H28" s="100"/>
      <c r="I28" s="100"/>
      <c r="J28" s="120">
        <f>MAX(J20-J22)</f>
        <v>160</v>
      </c>
      <c r="K28" s="121"/>
      <c r="L28" s="96"/>
      <c r="M28" s="231"/>
      <c r="N28" s="179" t="s">
        <v>51</v>
      </c>
      <c r="O28" s="100"/>
      <c r="P28" s="100"/>
      <c r="Q28" s="100"/>
      <c r="R28" s="120">
        <f>J20+R20+R25</f>
        <v>100</v>
      </c>
      <c r="S28" s="121"/>
      <c r="T28" s="214"/>
      <c r="U28" s="179" t="s">
        <v>52</v>
      </c>
      <c r="V28" s="100"/>
      <c r="W28" s="100"/>
      <c r="X28" s="100"/>
      <c r="Y28" s="172">
        <f>Y21+Y23+Y25</f>
        <v>4640</v>
      </c>
      <c r="Z28" s="122"/>
      <c r="AA28" s="219"/>
      <c r="AB28" s="249"/>
      <c r="AC28" s="92" t="s">
        <v>51</v>
      </c>
      <c r="AD28" s="93"/>
      <c r="AE28" s="93"/>
      <c r="AF28" s="93"/>
      <c r="AG28" s="120">
        <f>J20+AG20+AG25</f>
        <v>100</v>
      </c>
      <c r="AH28" s="121"/>
      <c r="AI28" s="251"/>
      <c r="AJ28" s="179" t="s">
        <v>52</v>
      </c>
      <c r="AK28" s="100"/>
      <c r="AL28" s="100"/>
      <c r="AM28" s="100"/>
      <c r="AN28" s="172">
        <f>AN21+AN23+AN25</f>
        <v>4405</v>
      </c>
      <c r="AO28" s="122"/>
      <c r="AP28" s="262"/>
      <c r="AQ28" s="67"/>
      <c r="AR28" s="67"/>
      <c r="AS28" s="67"/>
      <c r="AT28" s="144"/>
      <c r="AU28" s="78"/>
    </row>
    <row r="29" spans="1:54" ht="16.5" thickTop="1" thickBot="1" x14ac:dyDescent="0.3">
      <c r="A29" s="89" t="s">
        <v>53</v>
      </c>
      <c r="B29" s="123"/>
      <c r="C29" s="124">
        <v>95</v>
      </c>
      <c r="D29" s="45"/>
      <c r="E29" s="157"/>
      <c r="F29" s="68" t="str">
        <f>" "</f>
        <v xml:space="preserve"> </v>
      </c>
      <c r="G29" s="69"/>
      <c r="H29" s="69"/>
      <c r="I29" s="69"/>
      <c r="J29" s="128"/>
      <c r="K29" s="129"/>
      <c r="L29" s="96"/>
      <c r="M29" s="227"/>
      <c r="N29" s="276" t="s">
        <v>54</v>
      </c>
      <c r="O29" s="283"/>
      <c r="P29" s="283"/>
      <c r="Q29" s="283"/>
      <c r="R29" s="128">
        <f>MAX(J20+R20+R24+R23-J22-R22,0)</f>
        <v>0</v>
      </c>
      <c r="S29" s="129"/>
      <c r="T29" s="214"/>
      <c r="U29" s="68" t="str">
        <f>" "</f>
        <v xml:space="preserve"> </v>
      </c>
      <c r="V29" s="69"/>
      <c r="W29" s="69"/>
      <c r="X29" s="69"/>
      <c r="Y29" s="69"/>
      <c r="Z29" s="130"/>
      <c r="AA29" s="219"/>
      <c r="AB29" s="249"/>
      <c r="AC29" s="92" t="s">
        <v>54</v>
      </c>
      <c r="AD29" s="93"/>
      <c r="AE29" s="93"/>
      <c r="AF29" s="93"/>
      <c r="AG29" s="128">
        <f>MAX(J20+AG20-J22-AG22,0)</f>
        <v>0</v>
      </c>
      <c r="AH29" s="129"/>
      <c r="AI29" s="251"/>
      <c r="AJ29" s="68" t="str">
        <f>" "</f>
        <v xml:space="preserve"> </v>
      </c>
      <c r="AK29" s="69"/>
      <c r="AL29" s="69"/>
      <c r="AM29" s="69"/>
      <c r="AN29" s="69"/>
      <c r="AO29" s="130"/>
      <c r="AP29" s="263"/>
      <c r="AQ29" s="176"/>
      <c r="AR29" s="176"/>
      <c r="AS29" s="176"/>
      <c r="AT29" s="144"/>
      <c r="AU29" s="78"/>
    </row>
    <row r="30" spans="1:54" ht="15.75" thickBot="1" x14ac:dyDescent="0.3">
      <c r="A30" s="27" t="s">
        <v>34</v>
      </c>
      <c r="B30" s="131"/>
      <c r="C30" s="31">
        <v>47</v>
      </c>
      <c r="D30" s="132"/>
      <c r="E30" s="207"/>
      <c r="F30" s="146"/>
      <c r="G30" s="146"/>
      <c r="H30" s="146"/>
      <c r="I30" s="146"/>
      <c r="J30" s="31"/>
      <c r="K30" s="171"/>
      <c r="L30" s="96"/>
      <c r="M30" s="227"/>
      <c r="N30" s="211"/>
      <c r="O30" s="211"/>
      <c r="P30" s="211"/>
      <c r="Q30" s="211"/>
      <c r="R30" s="228"/>
      <c r="S30" s="211"/>
      <c r="T30" s="211"/>
      <c r="U30" s="211"/>
      <c r="V30" s="211"/>
      <c r="W30" s="211"/>
      <c r="X30" s="211"/>
      <c r="Y30" s="211"/>
      <c r="Z30" s="211"/>
      <c r="AA30" s="212"/>
      <c r="AB30" s="249"/>
      <c r="AC30" s="251"/>
      <c r="AD30" s="251"/>
      <c r="AE30" s="251"/>
      <c r="AF30" s="251"/>
      <c r="AG30" s="251"/>
      <c r="AH30" s="251"/>
      <c r="AI30" s="251"/>
      <c r="AJ30" s="251"/>
      <c r="AK30" s="251"/>
      <c r="AL30" s="251"/>
      <c r="AM30" s="251"/>
      <c r="AN30" s="251"/>
      <c r="AO30" s="251"/>
      <c r="AP30" s="252"/>
      <c r="AW30" s="170"/>
      <c r="AX30" s="170"/>
      <c r="AY30" s="170"/>
      <c r="AZ30" s="170"/>
      <c r="BA30" s="31"/>
      <c r="BB30" s="78"/>
    </row>
    <row r="31" spans="1:54" ht="15.75" thickBot="1" x14ac:dyDescent="0.3">
      <c r="A31" s="167" t="s">
        <v>55</v>
      </c>
      <c r="B31" s="123"/>
      <c r="C31" s="124">
        <f>IF(C50=1,MIN(C32,C52)-C47,C32)</f>
        <v>100</v>
      </c>
      <c r="D31" s="45"/>
      <c r="E31" s="157"/>
      <c r="L31" s="55"/>
      <c r="M31" s="232"/>
      <c r="N31" s="243" t="s">
        <v>56</v>
      </c>
      <c r="O31" s="244"/>
      <c r="P31" s="244"/>
      <c r="Q31" s="244"/>
      <c r="R31" s="244"/>
      <c r="S31" s="245"/>
      <c r="T31" s="211"/>
      <c r="U31" s="226"/>
      <c r="V31" s="226"/>
      <c r="W31" s="211"/>
      <c r="X31" s="211"/>
      <c r="Y31" s="211"/>
      <c r="Z31" s="211"/>
      <c r="AA31" s="212"/>
      <c r="AB31" s="250"/>
      <c r="AC31" s="243" t="s">
        <v>57</v>
      </c>
      <c r="AD31" s="244"/>
      <c r="AE31" s="244"/>
      <c r="AF31" s="244"/>
      <c r="AG31" s="268"/>
      <c r="AH31" s="40"/>
      <c r="AI31" s="253"/>
      <c r="AJ31" s="254"/>
      <c r="AK31" s="254"/>
      <c r="AL31" s="251"/>
      <c r="AM31" s="251"/>
      <c r="AN31" s="251"/>
      <c r="AO31" s="251"/>
      <c r="AP31" s="252"/>
      <c r="AW31" s="146"/>
      <c r="AX31" s="146"/>
      <c r="AY31" s="146"/>
      <c r="AZ31" s="146"/>
      <c r="BA31" s="31"/>
      <c r="BB31" s="78"/>
    </row>
    <row r="32" spans="1:54" ht="15.75" thickBot="1" x14ac:dyDescent="0.3">
      <c r="A32" s="167" t="s">
        <v>58</v>
      </c>
      <c r="B32" s="123"/>
      <c r="C32" s="124">
        <v>100</v>
      </c>
      <c r="D32" s="45"/>
      <c r="E32" s="157"/>
      <c r="F32" s="9" t="s">
        <v>24</v>
      </c>
      <c r="G32" s="10"/>
      <c r="H32" s="10"/>
      <c r="I32" s="10"/>
      <c r="J32" s="9"/>
      <c r="K32" s="56"/>
      <c r="L32" s="174"/>
      <c r="M32" s="233"/>
      <c r="N32" s="9" t="s">
        <v>59</v>
      </c>
      <c r="O32" s="10"/>
      <c r="P32" s="10"/>
      <c r="Q32" s="10"/>
      <c r="R32" s="11"/>
      <c r="S32" s="11"/>
      <c r="T32" s="211"/>
      <c r="U32" s="57" t="s">
        <v>93</v>
      </c>
      <c r="V32" s="58"/>
      <c r="W32" s="58"/>
      <c r="X32" s="58"/>
      <c r="Y32" s="57"/>
      <c r="Z32" s="59"/>
      <c r="AA32" s="218"/>
      <c r="AB32" s="264"/>
      <c r="AC32" s="9" t="s">
        <v>60</v>
      </c>
      <c r="AD32" s="10"/>
      <c r="AE32" s="10"/>
      <c r="AF32" s="10"/>
      <c r="AG32" s="11"/>
      <c r="AH32" s="11"/>
      <c r="AI32" s="253"/>
      <c r="AJ32" s="57" t="s">
        <v>96</v>
      </c>
      <c r="AK32" s="58"/>
      <c r="AL32" s="58"/>
      <c r="AM32" s="58"/>
      <c r="AN32" s="57"/>
      <c r="AO32" s="59"/>
      <c r="AP32" s="252"/>
    </row>
    <row r="33" spans="1:52" ht="15.75" thickBot="1" x14ac:dyDescent="0.3">
      <c r="A33" s="27" t="s">
        <v>36</v>
      </c>
      <c r="B33" s="28"/>
      <c r="C33" s="31">
        <v>0</v>
      </c>
      <c r="D33" s="132"/>
      <c r="E33" s="207"/>
      <c r="F33" s="9" t="s">
        <v>29</v>
      </c>
      <c r="G33" s="10"/>
      <c r="H33" s="10"/>
      <c r="I33" s="9"/>
      <c r="J33" s="64" t="s">
        <v>30</v>
      </c>
      <c r="K33" s="65"/>
      <c r="L33" s="67"/>
      <c r="M33" s="227"/>
      <c r="N33" s="125" t="s">
        <v>29</v>
      </c>
      <c r="O33" s="126"/>
      <c r="P33" s="9"/>
      <c r="Q33" s="10"/>
      <c r="R33" s="65" t="s">
        <v>30</v>
      </c>
      <c r="S33" s="65"/>
      <c r="T33" s="211"/>
      <c r="U33" s="57" t="s">
        <v>29</v>
      </c>
      <c r="V33" s="58"/>
      <c r="W33" s="58"/>
      <c r="X33" s="57"/>
      <c r="Y33" s="58" t="s">
        <v>30</v>
      </c>
      <c r="Z33" s="66"/>
      <c r="AA33" s="218"/>
      <c r="AB33" s="264"/>
      <c r="AC33" s="125" t="s">
        <v>29</v>
      </c>
      <c r="AD33" s="126"/>
      <c r="AE33" s="9"/>
      <c r="AF33" s="10"/>
      <c r="AG33" s="65" t="s">
        <v>30</v>
      </c>
      <c r="AH33" s="65"/>
      <c r="AI33" s="253"/>
      <c r="AJ33" s="57" t="s">
        <v>29</v>
      </c>
      <c r="AK33" s="58"/>
      <c r="AL33" s="58"/>
      <c r="AM33" s="57"/>
      <c r="AN33" s="58" t="s">
        <v>30</v>
      </c>
      <c r="AO33" s="66"/>
      <c r="AP33" s="252"/>
    </row>
    <row r="34" spans="1:52" ht="15" x14ac:dyDescent="0.25">
      <c r="A34" s="133" t="s">
        <v>39</v>
      </c>
      <c r="B34" s="28"/>
      <c r="C34" s="31">
        <v>0</v>
      </c>
      <c r="D34" s="132"/>
      <c r="E34" s="207"/>
      <c r="F34" s="75" t="s">
        <v>31</v>
      </c>
      <c r="G34" s="76"/>
      <c r="H34" s="76"/>
      <c r="I34" s="76"/>
      <c r="J34" s="24">
        <f>C20*C21</f>
        <v>3600</v>
      </c>
      <c r="K34" s="77"/>
      <c r="L34" s="96"/>
      <c r="M34" s="234"/>
      <c r="N34" s="134" t="s">
        <v>31</v>
      </c>
      <c r="O34" s="135"/>
      <c r="P34" s="135"/>
      <c r="Q34" s="135"/>
      <c r="R34" s="24">
        <f>J34</f>
        <v>3600</v>
      </c>
      <c r="S34" s="136"/>
      <c r="T34" s="211"/>
      <c r="U34" s="79"/>
      <c r="V34" s="80"/>
      <c r="W34" s="80"/>
      <c r="X34" s="80"/>
      <c r="Y34" s="81"/>
      <c r="Z34" s="82"/>
      <c r="AA34" s="219"/>
      <c r="AB34" s="265"/>
      <c r="AC34" s="134" t="s">
        <v>31</v>
      </c>
      <c r="AD34" s="135"/>
      <c r="AE34" s="135"/>
      <c r="AF34" s="135"/>
      <c r="AG34" s="24">
        <f>J34</f>
        <v>3600</v>
      </c>
      <c r="AH34" s="136"/>
      <c r="AI34" s="253"/>
      <c r="AJ34" s="182"/>
      <c r="AK34" s="80"/>
      <c r="AL34" s="80"/>
      <c r="AM34" s="80"/>
      <c r="AN34" s="81"/>
      <c r="AO34" s="82"/>
      <c r="AP34" s="252"/>
      <c r="AZ34" s="137"/>
    </row>
    <row r="35" spans="1:52" ht="15" x14ac:dyDescent="0.25">
      <c r="A35" s="168" t="s">
        <v>61</v>
      </c>
      <c r="B35" s="123"/>
      <c r="C35" s="124">
        <v>50</v>
      </c>
      <c r="D35" s="45"/>
      <c r="E35" s="157"/>
      <c r="F35" s="89" t="str">
        <f>" "</f>
        <v xml:space="preserve"> </v>
      </c>
      <c r="G35" s="90"/>
      <c r="H35" s="90"/>
      <c r="I35" s="90"/>
      <c r="J35" s="31"/>
      <c r="K35" s="91"/>
      <c r="L35" s="96"/>
      <c r="M35" s="227"/>
      <c r="N35" s="89"/>
      <c r="O35" s="90"/>
      <c r="P35" s="90"/>
      <c r="Q35" s="90"/>
      <c r="R35" s="31"/>
      <c r="S35" s="138"/>
      <c r="T35" s="211"/>
      <c r="U35" s="179" t="s">
        <v>52</v>
      </c>
      <c r="V35" s="100"/>
      <c r="W35" s="100"/>
      <c r="X35" s="100"/>
      <c r="Y35" s="94">
        <f>Y28</f>
        <v>4640</v>
      </c>
      <c r="Z35" s="95"/>
      <c r="AA35" s="219"/>
      <c r="AB35" s="265"/>
      <c r="AC35" s="89" t="str">
        <f>" "</f>
        <v xml:space="preserve"> </v>
      </c>
      <c r="AD35" s="90"/>
      <c r="AE35" s="90"/>
      <c r="AF35" s="90"/>
      <c r="AG35" s="31"/>
      <c r="AH35" s="138"/>
      <c r="AI35" s="253"/>
      <c r="AJ35" s="179" t="s">
        <v>52</v>
      </c>
      <c r="AK35" s="100"/>
      <c r="AL35" s="100"/>
      <c r="AM35" s="100"/>
      <c r="AN35" s="94">
        <f>AN28</f>
        <v>4405</v>
      </c>
      <c r="AO35" s="95"/>
      <c r="AP35" s="252"/>
    </row>
    <row r="36" spans="1:52" ht="15.75" thickBot="1" x14ac:dyDescent="0.3">
      <c r="A36" s="169" t="s">
        <v>62</v>
      </c>
      <c r="B36" s="139"/>
      <c r="C36" s="140">
        <v>100</v>
      </c>
      <c r="D36" s="141"/>
      <c r="E36" s="157"/>
      <c r="F36" s="98" t="str">
        <f>"DA Incremental Cost @ "&amp;C20&amp;" MW"</f>
        <v>DA Incremental Cost @ 80 MW</v>
      </c>
      <c r="G36" s="99"/>
      <c r="H36" s="99"/>
      <c r="I36" s="99"/>
      <c r="J36" s="31">
        <f>F15</f>
        <v>1690</v>
      </c>
      <c r="K36" s="91"/>
      <c r="L36" s="96"/>
      <c r="M36" s="234"/>
      <c r="N36" s="98" t="s">
        <v>49</v>
      </c>
      <c r="O36" s="99"/>
      <c r="P36" s="99"/>
      <c r="Q36" s="99"/>
      <c r="R36" s="31">
        <f>J42</f>
        <v>0</v>
      </c>
      <c r="S36" s="138"/>
      <c r="T36" s="211"/>
      <c r="U36" s="101"/>
      <c r="V36" s="100"/>
      <c r="W36" s="100"/>
      <c r="X36" s="100"/>
      <c r="Y36" s="94"/>
      <c r="Z36" s="95"/>
      <c r="AA36" s="219"/>
      <c r="AB36" s="265"/>
      <c r="AC36" s="98" t="s">
        <v>49</v>
      </c>
      <c r="AD36" s="99"/>
      <c r="AE36" s="99"/>
      <c r="AF36" s="99"/>
      <c r="AG36" s="31">
        <f>J42</f>
        <v>0</v>
      </c>
      <c r="AH36" s="138"/>
      <c r="AI36" s="253"/>
      <c r="AJ36" s="184"/>
      <c r="AK36" s="100"/>
      <c r="AL36" s="100"/>
      <c r="AM36" s="100"/>
      <c r="AN36" s="94"/>
      <c r="AO36" s="95"/>
      <c r="AP36" s="252"/>
    </row>
    <row r="37" spans="1:52" ht="15.75" thickBot="1" x14ac:dyDescent="0.3">
      <c r="E37" s="55"/>
      <c r="F37" s="98" t="s">
        <v>40</v>
      </c>
      <c r="G37" s="99"/>
      <c r="H37" s="99"/>
      <c r="I37" s="99"/>
      <c r="J37" s="31">
        <f>C23</f>
        <v>0</v>
      </c>
      <c r="K37" s="91"/>
      <c r="L37" s="96"/>
      <c r="M37" s="230"/>
      <c r="N37" s="142" t="s">
        <v>63</v>
      </c>
      <c r="O37" s="143"/>
      <c r="P37" s="143"/>
      <c r="Q37" s="143"/>
      <c r="R37" s="31">
        <f>J22</f>
        <v>340</v>
      </c>
      <c r="S37" s="138"/>
      <c r="T37" s="211"/>
      <c r="U37" s="179" t="str">
        <f>"RT Incremental Cost @ "&amp;C31&amp;" MW"</f>
        <v>RT Incremental Cost @ 100 MW</v>
      </c>
      <c r="V37" s="100"/>
      <c r="W37" s="100"/>
      <c r="X37" s="100"/>
      <c r="Y37" s="94">
        <f>R41</f>
        <v>2250</v>
      </c>
      <c r="Z37" s="95"/>
      <c r="AA37" s="219"/>
      <c r="AB37" s="265"/>
      <c r="AC37" s="142" t="s">
        <v>63</v>
      </c>
      <c r="AD37" s="143"/>
      <c r="AE37" s="143"/>
      <c r="AF37" s="143"/>
      <c r="AG37" s="31">
        <f>J22</f>
        <v>340</v>
      </c>
      <c r="AH37" s="138"/>
      <c r="AI37" s="289"/>
      <c r="AJ37" s="179" t="str">
        <f>"RT Incremental Cost @ "&amp;C29&amp;" MW"</f>
        <v>RT Incremental Cost @ 95 MW</v>
      </c>
      <c r="AK37" s="100"/>
      <c r="AL37" s="100"/>
      <c r="AM37" s="100"/>
      <c r="AN37" s="94">
        <f>AG41</f>
        <v>2102.5</v>
      </c>
      <c r="AO37" s="95"/>
      <c r="AP37" s="252"/>
    </row>
    <row r="38" spans="1:52" ht="28.5" x14ac:dyDescent="0.2">
      <c r="A38" s="26" t="s">
        <v>64</v>
      </c>
      <c r="B38" s="21"/>
      <c r="C38" s="21"/>
      <c r="D38" s="189"/>
      <c r="E38" s="157"/>
      <c r="F38" s="98" t="s">
        <v>43</v>
      </c>
      <c r="G38" s="99"/>
      <c r="H38" s="99"/>
      <c r="I38" s="99"/>
      <c r="J38" s="31">
        <f>C22</f>
        <v>0</v>
      </c>
      <c r="K38" s="91"/>
      <c r="L38" s="96"/>
      <c r="M38" s="235"/>
      <c r="N38" s="98" t="s">
        <v>65</v>
      </c>
      <c r="O38" s="99"/>
      <c r="P38" s="99"/>
      <c r="Q38" s="99"/>
      <c r="R38" s="31">
        <f>(C31-C20)*C30</f>
        <v>940</v>
      </c>
      <c r="S38" s="138"/>
      <c r="T38" s="225"/>
      <c r="U38" s="179" t="s">
        <v>67</v>
      </c>
      <c r="V38" s="100"/>
      <c r="W38" s="100"/>
      <c r="X38" s="100"/>
      <c r="Y38" s="94">
        <f>C34</f>
        <v>0</v>
      </c>
      <c r="Z38" s="95"/>
      <c r="AA38" s="219"/>
      <c r="AB38" s="265"/>
      <c r="AC38" s="98" t="s">
        <v>66</v>
      </c>
      <c r="AD38" s="99"/>
      <c r="AE38" s="99"/>
      <c r="AF38" s="99"/>
      <c r="AG38" s="31">
        <f>(C29-C20)*C30</f>
        <v>705</v>
      </c>
      <c r="AH38" s="138"/>
      <c r="AI38" s="255"/>
      <c r="AJ38" s="179" t="s">
        <v>67</v>
      </c>
      <c r="AK38" s="100"/>
      <c r="AL38" s="100"/>
      <c r="AM38" s="100"/>
      <c r="AN38" s="94">
        <f>AG42</f>
        <v>0</v>
      </c>
      <c r="AO38" s="95"/>
      <c r="AP38" s="252"/>
    </row>
    <row r="39" spans="1:52" ht="15" x14ac:dyDescent="0.25">
      <c r="A39" s="32" t="s">
        <v>68</v>
      </c>
      <c r="B39" s="28"/>
      <c r="C39" s="123">
        <v>20</v>
      </c>
      <c r="D39" s="45"/>
      <c r="E39" s="157"/>
      <c r="F39" s="89" t="str">
        <f>" "</f>
        <v xml:space="preserve"> </v>
      </c>
      <c r="G39" s="90"/>
      <c r="H39" s="90"/>
      <c r="I39" s="90"/>
      <c r="J39" s="31"/>
      <c r="K39" s="91"/>
      <c r="L39" s="96"/>
      <c r="M39" s="236"/>
      <c r="N39" s="275" t="s">
        <v>69</v>
      </c>
      <c r="O39" s="203"/>
      <c r="P39" s="203"/>
      <c r="Q39" s="203"/>
      <c r="R39" s="31">
        <f>R22</f>
        <v>0</v>
      </c>
      <c r="S39" s="138"/>
      <c r="T39" s="213"/>
      <c r="U39" s="179" t="s">
        <v>70</v>
      </c>
      <c r="V39" s="100"/>
      <c r="W39" s="100"/>
      <c r="X39" s="100"/>
      <c r="Y39" s="147">
        <f>C33</f>
        <v>0</v>
      </c>
      <c r="Z39" s="148"/>
      <c r="AA39" s="220"/>
      <c r="AB39" s="265"/>
      <c r="AC39" s="271" t="s">
        <v>69</v>
      </c>
      <c r="AD39" s="203"/>
      <c r="AE39" s="203"/>
      <c r="AF39" s="203"/>
      <c r="AG39" s="31">
        <f>AG22</f>
        <v>0</v>
      </c>
      <c r="AH39" s="138"/>
      <c r="AI39" s="255"/>
      <c r="AJ39" s="179" t="s">
        <v>70</v>
      </c>
      <c r="AK39" s="100"/>
      <c r="AL39" s="100"/>
      <c r="AM39" s="100"/>
      <c r="AN39" s="147">
        <f>AG43</f>
        <v>0</v>
      </c>
      <c r="AO39" s="148"/>
      <c r="AP39" s="252"/>
    </row>
    <row r="40" spans="1:52" ht="15" x14ac:dyDescent="0.25">
      <c r="A40" s="190" t="s">
        <v>71</v>
      </c>
      <c r="B40" s="191"/>
      <c r="C40" s="31">
        <v>25</v>
      </c>
      <c r="D40" s="45"/>
      <c r="E40" s="157"/>
      <c r="F40" s="98" t="s">
        <v>47</v>
      </c>
      <c r="G40" s="99"/>
      <c r="H40" s="99"/>
      <c r="I40" s="99"/>
      <c r="J40" s="114">
        <f>J34-J36-J37-J38</f>
        <v>1910</v>
      </c>
      <c r="K40" s="115"/>
      <c r="L40" s="288"/>
      <c r="M40" s="237"/>
      <c r="N40" s="89"/>
      <c r="O40" s="90"/>
      <c r="P40" s="90"/>
      <c r="Q40" s="90"/>
      <c r="R40" s="31"/>
      <c r="S40" s="138"/>
      <c r="T40" s="213"/>
      <c r="U40" s="101"/>
      <c r="V40" s="100"/>
      <c r="W40" s="100"/>
      <c r="X40" s="100"/>
      <c r="Y40" s="94"/>
      <c r="Z40" s="95"/>
      <c r="AA40" s="219"/>
      <c r="AB40" s="265"/>
      <c r="AC40" s="98"/>
      <c r="AD40" s="99"/>
      <c r="AE40" s="99"/>
      <c r="AF40" s="99"/>
      <c r="AG40" s="31"/>
      <c r="AH40" s="138"/>
      <c r="AI40" s="255"/>
      <c r="AJ40" s="184"/>
      <c r="AK40" s="100"/>
      <c r="AL40" s="100"/>
      <c r="AM40" s="100"/>
      <c r="AN40" s="94"/>
      <c r="AO40" s="95"/>
      <c r="AP40" s="252"/>
    </row>
    <row r="41" spans="1:52" ht="15.75" thickBot="1" x14ac:dyDescent="0.3">
      <c r="A41" s="192" t="s">
        <v>72</v>
      </c>
      <c r="B41" s="28"/>
      <c r="C41" s="123">
        <v>1</v>
      </c>
      <c r="D41" s="45"/>
      <c r="E41" s="157"/>
      <c r="F41" s="89" t="str">
        <f>" "</f>
        <v xml:space="preserve"> </v>
      </c>
      <c r="G41" s="90"/>
      <c r="H41" s="90"/>
      <c r="I41" s="90"/>
      <c r="J41" s="31"/>
      <c r="K41" s="91"/>
      <c r="L41" s="96"/>
      <c r="M41" s="238"/>
      <c r="N41" s="98" t="str">
        <f>"RT Incremental Cost @ "&amp;C31&amp;" MW"</f>
        <v>RT Incremental Cost @ 100 MW</v>
      </c>
      <c r="O41" s="99"/>
      <c r="P41" s="99"/>
      <c r="Q41" s="99"/>
      <c r="R41" s="31">
        <f>T15</f>
        <v>2250</v>
      </c>
      <c r="S41" s="138"/>
      <c r="T41" s="211"/>
      <c r="U41" s="179" t="s">
        <v>73</v>
      </c>
      <c r="V41" s="100"/>
      <c r="W41" s="100"/>
      <c r="X41" s="100"/>
      <c r="Y41" s="120">
        <f>Y35-Y37-Y38-Y39</f>
        <v>2390</v>
      </c>
      <c r="Z41" s="121"/>
      <c r="AA41" s="219"/>
      <c r="AB41" s="265"/>
      <c r="AC41" s="98" t="str">
        <f>"RT Incremental Cost @ "&amp;C29&amp;" MW"</f>
        <v>RT Incremental Cost @ 95 MW</v>
      </c>
      <c r="AD41" s="99"/>
      <c r="AE41" s="99"/>
      <c r="AF41" s="99"/>
      <c r="AG41" s="31">
        <f>M15</f>
        <v>2102.5</v>
      </c>
      <c r="AH41" s="138"/>
      <c r="AI41" s="255"/>
      <c r="AJ41" s="179" t="s">
        <v>73</v>
      </c>
      <c r="AK41" s="100"/>
      <c r="AL41" s="100"/>
      <c r="AM41" s="100"/>
      <c r="AN41" s="120">
        <f>AN35-AN37-AN38-AN39</f>
        <v>2302.5</v>
      </c>
      <c r="AO41" s="121"/>
      <c r="AP41" s="252"/>
      <c r="AQ41" s="137"/>
    </row>
    <row r="42" spans="1:52" ht="16.5" thickTop="1" thickBot="1" x14ac:dyDescent="0.3">
      <c r="A42" s="27" t="s">
        <v>74</v>
      </c>
      <c r="B42" s="193"/>
      <c r="C42" s="123">
        <v>100</v>
      </c>
      <c r="D42" s="45"/>
      <c r="E42" s="157"/>
      <c r="F42" s="98" t="s">
        <v>49</v>
      </c>
      <c r="G42" s="99"/>
      <c r="H42" s="99"/>
      <c r="I42" s="99"/>
      <c r="J42" s="118">
        <f>MAX(J40*-1,0)</f>
        <v>0</v>
      </c>
      <c r="K42" s="119"/>
      <c r="L42" s="96"/>
      <c r="M42" s="238"/>
      <c r="N42" s="98" t="s">
        <v>67</v>
      </c>
      <c r="O42" s="99"/>
      <c r="P42" s="99"/>
      <c r="Q42" s="99"/>
      <c r="R42" s="31">
        <f>C34</f>
        <v>0</v>
      </c>
      <c r="S42" s="138"/>
      <c r="T42" s="211"/>
      <c r="U42" s="92"/>
      <c r="V42" s="100"/>
      <c r="W42" s="100"/>
      <c r="X42" s="100"/>
      <c r="Y42" s="94"/>
      <c r="Z42" s="95"/>
      <c r="AA42" s="219"/>
      <c r="AB42" s="265"/>
      <c r="AC42" s="98" t="s">
        <v>67</v>
      </c>
      <c r="AD42" s="99"/>
      <c r="AE42" s="99"/>
      <c r="AF42" s="99"/>
      <c r="AG42" s="31">
        <f>C34</f>
        <v>0</v>
      </c>
      <c r="AH42" s="138"/>
      <c r="AI42" s="253"/>
      <c r="AJ42" s="179"/>
      <c r="AK42" s="100"/>
      <c r="AL42" s="100"/>
      <c r="AM42" s="100"/>
      <c r="AN42" s="94"/>
      <c r="AO42" s="95"/>
      <c r="AP42" s="252"/>
    </row>
    <row r="43" spans="1:52" ht="16.5" thickTop="1" thickBot="1" x14ac:dyDescent="0.3">
      <c r="A43" s="33" t="s">
        <v>75</v>
      </c>
      <c r="B43" s="194"/>
      <c r="C43" s="139">
        <v>100</v>
      </c>
      <c r="D43" s="141"/>
      <c r="E43" s="157"/>
      <c r="F43" s="125" t="str">
        <f>" "</f>
        <v xml:space="preserve"> </v>
      </c>
      <c r="G43" s="126"/>
      <c r="H43" s="126"/>
      <c r="I43" s="126"/>
      <c r="J43" s="37"/>
      <c r="K43" s="127"/>
      <c r="L43" s="96"/>
      <c r="M43" s="238"/>
      <c r="N43" s="98" t="s">
        <v>70</v>
      </c>
      <c r="O43" s="99"/>
      <c r="P43" s="99"/>
      <c r="Q43" s="99"/>
      <c r="R43" s="31">
        <f>C33</f>
        <v>0</v>
      </c>
      <c r="S43" s="138"/>
      <c r="T43" s="211"/>
      <c r="U43" s="68" t="str">
        <f>" "</f>
        <v xml:space="preserve"> </v>
      </c>
      <c r="V43" s="69"/>
      <c r="W43" s="69"/>
      <c r="X43" s="69"/>
      <c r="Y43" s="128"/>
      <c r="Z43" s="178"/>
      <c r="AA43" s="219"/>
      <c r="AB43" s="265"/>
      <c r="AC43" s="98" t="s">
        <v>70</v>
      </c>
      <c r="AD43" s="99"/>
      <c r="AE43" s="99"/>
      <c r="AF43" s="99"/>
      <c r="AG43" s="31">
        <f>C33</f>
        <v>0</v>
      </c>
      <c r="AH43" s="138"/>
      <c r="AI43" s="251"/>
      <c r="AJ43" s="188" t="str">
        <f>" "</f>
        <v xml:space="preserve"> </v>
      </c>
      <c r="AK43" s="69"/>
      <c r="AL43" s="69"/>
      <c r="AM43" s="69"/>
      <c r="AN43" s="128"/>
      <c r="AO43" s="129"/>
      <c r="AP43" s="252"/>
    </row>
    <row r="44" spans="1:52" ht="15" x14ac:dyDescent="0.25">
      <c r="A44" s="149"/>
      <c r="B44" s="137"/>
      <c r="C44" s="54"/>
      <c r="D44" s="54"/>
      <c r="E44" s="55"/>
      <c r="L44" s="290"/>
      <c r="M44" s="239"/>
      <c r="N44" s="281" t="s">
        <v>98</v>
      </c>
      <c r="O44" s="143"/>
      <c r="P44" s="143"/>
      <c r="Q44" s="143"/>
      <c r="R44" s="273">
        <v>0</v>
      </c>
      <c r="S44" s="274"/>
      <c r="T44" s="211"/>
      <c r="U44" s="211"/>
      <c r="V44" s="211"/>
      <c r="W44" s="211"/>
      <c r="X44" s="211"/>
      <c r="Y44" s="211"/>
      <c r="Z44" s="211"/>
      <c r="AA44" s="212"/>
      <c r="AB44" s="266"/>
      <c r="AC44" s="142" t="s">
        <v>98</v>
      </c>
      <c r="AD44" s="143"/>
      <c r="AE44" s="143"/>
      <c r="AF44" s="143"/>
      <c r="AG44" s="273">
        <f>AG23*-1</f>
        <v>0</v>
      </c>
      <c r="AH44" s="274"/>
      <c r="AI44" s="251"/>
      <c r="AJ44" s="251"/>
      <c r="AK44" s="251"/>
      <c r="AL44" s="251"/>
      <c r="AM44" s="251"/>
      <c r="AN44" s="251"/>
      <c r="AO44" s="251"/>
      <c r="AP44" s="252"/>
    </row>
    <row r="45" spans="1:52" ht="15.75" thickBot="1" x14ac:dyDescent="0.3">
      <c r="A45" s="201"/>
      <c r="B45" s="202"/>
      <c r="C45" s="201"/>
      <c r="D45" s="201"/>
      <c r="E45" s="210"/>
      <c r="L45" s="55"/>
      <c r="M45" s="238"/>
      <c r="N45" s="142" t="s">
        <v>97</v>
      </c>
      <c r="O45" s="203"/>
      <c r="P45" s="203"/>
      <c r="Q45" s="203"/>
      <c r="R45" s="31">
        <f>R24*-1</f>
        <v>-240</v>
      </c>
      <c r="S45" s="138"/>
      <c r="T45" s="211"/>
      <c r="U45" s="211"/>
      <c r="V45" s="211"/>
      <c r="W45" s="211"/>
      <c r="X45" s="211"/>
      <c r="Y45" s="211"/>
      <c r="Z45" s="211"/>
      <c r="AA45" s="212"/>
      <c r="AB45" s="265"/>
      <c r="AC45" s="142" t="s">
        <v>97</v>
      </c>
      <c r="AD45" s="203"/>
      <c r="AE45" s="203"/>
      <c r="AF45" s="203"/>
      <c r="AG45" s="31">
        <f>AG24*-1</f>
        <v>-240</v>
      </c>
      <c r="AH45" s="138"/>
      <c r="AI45" s="253"/>
      <c r="AJ45" s="251"/>
      <c r="AK45" s="251"/>
      <c r="AL45" s="251"/>
      <c r="AM45" s="251"/>
      <c r="AN45" s="251"/>
      <c r="AO45" s="251"/>
      <c r="AP45" s="252"/>
    </row>
    <row r="46" spans="1:52" ht="15" x14ac:dyDescent="0.25">
      <c r="A46" s="20"/>
      <c r="B46" s="195"/>
      <c r="C46" s="135"/>
      <c r="D46" s="42"/>
      <c r="E46" s="157"/>
      <c r="L46" s="55"/>
      <c r="M46" s="238"/>
      <c r="N46" s="142" t="s">
        <v>76</v>
      </c>
      <c r="O46" s="143"/>
      <c r="P46" s="143"/>
      <c r="Q46" s="143"/>
      <c r="R46" s="31">
        <f>R29</f>
        <v>0</v>
      </c>
      <c r="S46" s="138"/>
      <c r="T46" s="213"/>
      <c r="U46" s="213"/>
      <c r="V46" s="211"/>
      <c r="W46" s="211"/>
      <c r="X46" s="211"/>
      <c r="Y46" s="211"/>
      <c r="Z46" s="211"/>
      <c r="AA46" s="212"/>
      <c r="AB46" s="265"/>
      <c r="AC46" s="142" t="s">
        <v>76</v>
      </c>
      <c r="AD46" s="143"/>
      <c r="AE46" s="143"/>
      <c r="AF46" s="143"/>
      <c r="AG46" s="31">
        <f>AG29</f>
        <v>0</v>
      </c>
      <c r="AH46" s="138"/>
      <c r="AI46" s="253"/>
      <c r="AJ46" s="251"/>
      <c r="AK46" s="251"/>
      <c r="AL46" s="251"/>
      <c r="AM46" s="251"/>
      <c r="AN46" s="251"/>
      <c r="AO46" s="251"/>
      <c r="AP46" s="252"/>
    </row>
    <row r="47" spans="1:52" ht="15" x14ac:dyDescent="0.25">
      <c r="A47" s="27" t="s">
        <v>78</v>
      </c>
      <c r="B47" s="193"/>
      <c r="C47" s="123">
        <v>0</v>
      </c>
      <c r="D47" s="45"/>
      <c r="E47" s="157"/>
      <c r="L47" s="290"/>
      <c r="M47" s="238"/>
      <c r="N47" s="151" t="s">
        <v>77</v>
      </c>
      <c r="O47" s="99"/>
      <c r="P47" s="99"/>
      <c r="Q47" s="99"/>
      <c r="R47" s="114">
        <f>R34+R37+R38+R39+R40-R41-R42-R43+R46+R44+R45</f>
        <v>2390</v>
      </c>
      <c r="S47" s="152"/>
      <c r="T47" s="213"/>
      <c r="U47" s="211"/>
      <c r="V47" s="211"/>
      <c r="W47" s="213"/>
      <c r="X47" s="211"/>
      <c r="Y47" s="211"/>
      <c r="Z47" s="211"/>
      <c r="AA47" s="212"/>
      <c r="AB47" s="265"/>
      <c r="AC47" s="151" t="s">
        <v>77</v>
      </c>
      <c r="AD47" s="150"/>
      <c r="AE47" s="150"/>
      <c r="AF47" s="150"/>
      <c r="AG47" s="114">
        <f>AG34+AG38+AG46+AG37+AG39+AG44-AG41-AG42-AG43+AG45</f>
        <v>2302.5</v>
      </c>
      <c r="AH47" s="152"/>
      <c r="AI47" s="253"/>
      <c r="AJ47" s="251"/>
      <c r="AK47" s="251"/>
      <c r="AL47" s="251"/>
      <c r="AM47" s="251"/>
      <c r="AN47" s="251"/>
      <c r="AO47" s="251"/>
      <c r="AP47" s="252"/>
    </row>
    <row r="48" spans="1:52" ht="15" x14ac:dyDescent="0.25">
      <c r="A48" s="27" t="s">
        <v>80</v>
      </c>
      <c r="B48" s="193"/>
      <c r="C48" s="123">
        <f>IF(C47&gt;0,MIN(C52-C29,C47),0)</f>
        <v>0</v>
      </c>
      <c r="D48" s="45"/>
      <c r="E48" s="157"/>
      <c r="H48" s="137"/>
      <c r="L48" s="55"/>
      <c r="M48" s="227"/>
      <c r="N48" s="32"/>
      <c r="O48" s="28"/>
      <c r="P48" s="28"/>
      <c r="Q48" s="28"/>
      <c r="R48" s="28"/>
      <c r="S48" s="272"/>
      <c r="T48" s="211"/>
      <c r="U48" s="211"/>
      <c r="V48" s="211"/>
      <c r="W48" s="211"/>
      <c r="X48" s="211"/>
      <c r="Y48" s="211"/>
      <c r="Z48" s="211"/>
      <c r="AA48" s="212"/>
      <c r="AB48" s="265"/>
      <c r="AC48" s="89" t="str">
        <f>" "</f>
        <v xml:space="preserve"> </v>
      </c>
      <c r="AD48" s="90"/>
      <c r="AE48" s="90"/>
      <c r="AF48" s="90"/>
      <c r="AG48" s="31"/>
      <c r="AH48" s="138"/>
      <c r="AI48" s="253"/>
      <c r="AJ48" s="251"/>
      <c r="AK48" s="251"/>
      <c r="AL48" s="251"/>
      <c r="AM48" s="251"/>
      <c r="AN48" s="251"/>
      <c r="AO48" s="251"/>
      <c r="AP48" s="252"/>
    </row>
    <row r="49" spans="1:46" ht="15.75" thickBot="1" x14ac:dyDescent="0.3">
      <c r="A49" s="27" t="s">
        <v>81</v>
      </c>
      <c r="B49" s="193"/>
      <c r="C49" s="196">
        <v>20</v>
      </c>
      <c r="D49" s="45"/>
      <c r="E49" s="157"/>
      <c r="J49" s="137"/>
      <c r="L49" s="55"/>
      <c r="M49" s="227"/>
      <c r="N49" s="98" t="s">
        <v>79</v>
      </c>
      <c r="O49" s="99"/>
      <c r="P49" s="99"/>
      <c r="Q49" s="99"/>
      <c r="R49" s="118">
        <f>MAX(MAX(R47*-1,0)-R36,0)</f>
        <v>0</v>
      </c>
      <c r="S49" s="153"/>
      <c r="T49" s="211"/>
      <c r="U49" s="211"/>
      <c r="V49" s="211"/>
      <c r="W49" s="211"/>
      <c r="X49" s="211"/>
      <c r="Y49" s="211"/>
      <c r="Z49" s="211"/>
      <c r="AA49" s="212"/>
      <c r="AB49" s="265"/>
      <c r="AC49" s="151" t="s">
        <v>79</v>
      </c>
      <c r="AD49" s="150"/>
      <c r="AE49" s="150"/>
      <c r="AF49" s="150"/>
      <c r="AG49" s="118">
        <f>MAX(MAX(AG47*-1,0)-AG36,0)</f>
        <v>0</v>
      </c>
      <c r="AH49" s="153"/>
      <c r="AI49" s="253"/>
      <c r="AJ49" s="251"/>
      <c r="AK49" s="251"/>
      <c r="AL49" s="251"/>
      <c r="AM49" s="251"/>
      <c r="AN49" s="251"/>
      <c r="AO49" s="251"/>
      <c r="AP49" s="252"/>
    </row>
    <row r="50" spans="1:46" ht="16.5" thickTop="1" thickBot="1" x14ac:dyDescent="0.3">
      <c r="A50" s="197" t="s">
        <v>82</v>
      </c>
      <c r="B50" s="198"/>
      <c r="C50" s="199">
        <f>IF(AND(C47&gt;0,C52-C32&lt;=C47),1,0)</f>
        <v>0</v>
      </c>
      <c r="D50" s="200"/>
      <c r="E50" s="96"/>
      <c r="L50" s="55"/>
      <c r="M50" s="234"/>
      <c r="N50" s="125" t="str">
        <f>" "</f>
        <v xml:space="preserve"> </v>
      </c>
      <c r="O50" s="126"/>
      <c r="P50" s="126"/>
      <c r="Q50" s="126"/>
      <c r="R50" s="37"/>
      <c r="S50" s="156"/>
      <c r="T50" s="214"/>
      <c r="U50" s="211"/>
      <c r="V50" s="211"/>
      <c r="W50" s="211"/>
      <c r="X50" s="211"/>
      <c r="Y50" s="211"/>
      <c r="Z50" s="211"/>
      <c r="AA50" s="212"/>
      <c r="AB50" s="250"/>
      <c r="AC50" s="125" t="str">
        <f>" "</f>
        <v xml:space="preserve"> </v>
      </c>
      <c r="AD50" s="126"/>
      <c r="AE50" s="126"/>
      <c r="AF50" s="126"/>
      <c r="AG50" s="37"/>
      <c r="AH50" s="155"/>
      <c r="AI50" s="253"/>
      <c r="AJ50" s="251"/>
      <c r="AK50" s="251"/>
      <c r="AL50" s="251"/>
      <c r="AM50" s="251"/>
      <c r="AN50" s="251"/>
      <c r="AO50" s="251"/>
      <c r="AP50" s="252"/>
    </row>
    <row r="51" spans="1:46" ht="15.75" thickBot="1" x14ac:dyDescent="0.3">
      <c r="A51" s="197" t="s">
        <v>83</v>
      </c>
      <c r="B51" s="198"/>
      <c r="C51" s="199">
        <v>0</v>
      </c>
      <c r="D51" s="200"/>
      <c r="E51" s="96"/>
      <c r="K51" s="137"/>
      <c r="L51" s="55"/>
      <c r="M51" s="240"/>
      <c r="N51" s="241"/>
      <c r="O51" s="241"/>
      <c r="P51" s="215"/>
      <c r="Q51" s="215"/>
      <c r="R51" s="242"/>
      <c r="S51" s="241"/>
      <c r="T51" s="215"/>
      <c r="U51" s="215"/>
      <c r="V51" s="215"/>
      <c r="W51" s="215"/>
      <c r="X51" s="215"/>
      <c r="Y51" s="215"/>
      <c r="Z51" s="215"/>
      <c r="AA51" s="216"/>
      <c r="AB51" s="267"/>
      <c r="AC51" s="256"/>
      <c r="AD51" s="256"/>
      <c r="AE51" s="256"/>
      <c r="AF51" s="256"/>
      <c r="AG51" s="256"/>
      <c r="AH51" s="256"/>
      <c r="AI51" s="256"/>
      <c r="AJ51" s="257"/>
      <c r="AK51" s="257"/>
      <c r="AL51" s="257"/>
      <c r="AM51" s="257"/>
      <c r="AN51" s="257"/>
      <c r="AO51" s="257"/>
      <c r="AP51" s="258"/>
    </row>
    <row r="52" spans="1:46" ht="15" x14ac:dyDescent="0.25">
      <c r="A52" s="27" t="s">
        <v>84</v>
      </c>
      <c r="B52" s="28"/>
      <c r="C52" s="124">
        <v>100</v>
      </c>
      <c r="D52" s="45"/>
      <c r="E52" s="157"/>
      <c r="L52" s="55"/>
      <c r="M52" s="54"/>
      <c r="AB52" s="55"/>
      <c r="AC52" s="55"/>
      <c r="AD52" s="55"/>
      <c r="AE52" s="55"/>
      <c r="AF52" s="55"/>
      <c r="AG52" s="55"/>
      <c r="AH52" s="55"/>
      <c r="AI52" s="55"/>
    </row>
    <row r="53" spans="1:46" ht="15" x14ac:dyDescent="0.25">
      <c r="A53" s="27" t="s">
        <v>85</v>
      </c>
      <c r="B53" s="28"/>
      <c r="C53" s="124">
        <f>IF(AND(C50=1,C47&gt;C39),MAX(MIN(C32,C52)-(C47-MIN(C52,C32,0)),0),C32)</f>
        <v>100</v>
      </c>
      <c r="D53" s="45"/>
      <c r="E53" s="157"/>
      <c r="L53" s="55"/>
      <c r="T53" s="54"/>
      <c r="U53" s="158" t="s">
        <v>86</v>
      </c>
      <c r="V53" s="159"/>
      <c r="W53" s="54"/>
      <c r="X53" s="54"/>
      <c r="AD53" s="137"/>
      <c r="AM53" s="55"/>
      <c r="AN53" s="55"/>
      <c r="AO53" s="55"/>
      <c r="AP53" s="55"/>
      <c r="AQ53" s="55"/>
      <c r="AR53" s="55"/>
      <c r="AS53" s="55"/>
      <c r="AT53" s="55"/>
    </row>
    <row r="54" spans="1:46" ht="15.75" thickBot="1" x14ac:dyDescent="0.3">
      <c r="A54" s="33" t="s">
        <v>87</v>
      </c>
      <c r="B54" s="34"/>
      <c r="C54" s="139">
        <f>IF(AND(C51=1,C48&gt;C39),MAX(MIN(C32,C52)-(C48-MAX(C52-C32,0)),C29),C32)</f>
        <v>100</v>
      </c>
      <c r="D54" s="141"/>
      <c r="E54" s="157"/>
      <c r="L54" s="55"/>
      <c r="T54" s="149" t="s">
        <v>88</v>
      </c>
      <c r="U54" s="160" t="s">
        <v>89</v>
      </c>
      <c r="V54" s="160"/>
      <c r="W54" s="160"/>
      <c r="X54" s="161"/>
      <c r="Y54" s="103">
        <f>MIN(R48,AG48)</f>
        <v>0</v>
      </c>
      <c r="AB54" s="145"/>
      <c r="AM54" s="55"/>
      <c r="AN54" s="55"/>
      <c r="AO54" s="55"/>
      <c r="AP54" s="55"/>
      <c r="AQ54" s="55"/>
      <c r="AR54" s="55"/>
      <c r="AS54" s="55"/>
      <c r="AT54" s="55"/>
    </row>
    <row r="55" spans="1:46" ht="42.75" x14ac:dyDescent="0.25">
      <c r="A55" s="149" t="s">
        <v>99</v>
      </c>
      <c r="C55">
        <v>0</v>
      </c>
      <c r="E55" s="55"/>
      <c r="L55" s="55"/>
      <c r="U55" s="162" t="s">
        <v>90</v>
      </c>
      <c r="V55" s="162"/>
      <c r="W55" s="162"/>
      <c r="X55" s="163"/>
      <c r="Y55" s="175"/>
      <c r="Z55" s="175"/>
      <c r="AA55" s="175"/>
      <c r="AB55" s="164"/>
      <c r="AC55" s="164"/>
      <c r="AD55" s="165"/>
      <c r="AE55" s="165"/>
      <c r="AH55" s="137"/>
      <c r="AM55" s="55"/>
      <c r="AN55" s="55"/>
      <c r="AO55" s="55"/>
      <c r="AP55" s="55"/>
      <c r="AQ55" s="55"/>
      <c r="AR55" s="55"/>
      <c r="AS55" s="55"/>
      <c r="AT55" s="55"/>
    </row>
    <row r="56" spans="1:46" ht="15" x14ac:dyDescent="0.25">
      <c r="A56" s="149"/>
      <c r="E56" s="55"/>
      <c r="L56" s="55"/>
      <c r="U56" s="162"/>
      <c r="V56" s="162"/>
      <c r="W56" s="162"/>
      <c r="X56" s="163"/>
      <c r="Y56" s="175"/>
      <c r="Z56" s="175"/>
      <c r="AA56" s="175"/>
      <c r="AB56" s="164"/>
      <c r="AC56" s="164"/>
      <c r="AD56" s="165"/>
      <c r="AE56" s="165"/>
      <c r="AM56" s="55"/>
      <c r="AN56" s="55"/>
      <c r="AO56" s="55"/>
      <c r="AP56" s="55"/>
      <c r="AQ56" s="55"/>
      <c r="AR56" s="55"/>
      <c r="AS56" s="55"/>
      <c r="AT56" s="55"/>
    </row>
    <row r="57" spans="1:46" x14ac:dyDescent="0.2">
      <c r="E57" s="55"/>
      <c r="L57" s="55"/>
      <c r="U57" s="162"/>
      <c r="V57" s="162"/>
      <c r="W57" s="162"/>
      <c r="X57" s="163"/>
      <c r="Y57" s="175"/>
      <c r="Z57" s="175"/>
      <c r="AA57" s="175"/>
      <c r="AB57" s="164"/>
      <c r="AC57" s="164"/>
      <c r="AD57" s="165"/>
      <c r="AE57" s="165"/>
      <c r="AM57" s="55"/>
      <c r="AN57" s="55"/>
      <c r="AO57" s="55"/>
      <c r="AP57" s="55"/>
      <c r="AQ57" s="55"/>
      <c r="AR57" s="55"/>
      <c r="AS57" s="55"/>
      <c r="AT57" s="55"/>
    </row>
    <row r="58" spans="1:46" x14ac:dyDescent="0.2">
      <c r="E58" s="55"/>
      <c r="L58" s="55"/>
      <c r="U58" s="162"/>
      <c r="V58" s="162"/>
      <c r="W58" s="162"/>
      <c r="X58" s="163"/>
      <c r="Y58" s="175"/>
      <c r="Z58" s="175"/>
      <c r="AA58" s="175"/>
      <c r="AB58" s="164"/>
      <c r="AC58" s="164"/>
      <c r="AD58" s="165"/>
      <c r="AE58" s="165"/>
      <c r="AM58" s="55"/>
      <c r="AN58" s="55"/>
      <c r="AO58" s="55"/>
      <c r="AP58" s="55"/>
      <c r="AQ58" s="55"/>
      <c r="AR58" s="55"/>
      <c r="AS58" s="55"/>
      <c r="AT58" s="55"/>
    </row>
    <row r="59" spans="1:46" x14ac:dyDescent="0.2">
      <c r="B59" s="137"/>
      <c r="E59" s="55"/>
      <c r="L59" s="55"/>
      <c r="U59" s="162"/>
      <c r="V59" s="162"/>
      <c r="W59" s="162"/>
      <c r="X59" s="163"/>
      <c r="Y59" s="175"/>
      <c r="Z59" s="175"/>
      <c r="AA59" s="175"/>
      <c r="AB59" s="164"/>
      <c r="AC59" s="164"/>
      <c r="AD59" s="165"/>
      <c r="AE59" s="165"/>
      <c r="AM59" s="55"/>
      <c r="AN59" s="55"/>
      <c r="AO59" s="55"/>
      <c r="AP59" s="55"/>
      <c r="AQ59" s="55"/>
      <c r="AR59" s="55"/>
      <c r="AS59" s="55"/>
      <c r="AT59" s="55"/>
    </row>
    <row r="60" spans="1:46" x14ac:dyDescent="0.2">
      <c r="E60" s="55"/>
      <c r="L60" s="55"/>
      <c r="U60" s="162"/>
      <c r="V60" s="162"/>
      <c r="W60" s="162"/>
      <c r="X60" s="163"/>
      <c r="Y60" s="175"/>
      <c r="Z60" s="175"/>
      <c r="AA60" s="175"/>
      <c r="AB60" s="164"/>
      <c r="AC60" s="164"/>
      <c r="AD60" s="165"/>
      <c r="AE60" s="165"/>
      <c r="AM60" s="55"/>
      <c r="AN60" s="55"/>
      <c r="AO60" s="55"/>
      <c r="AP60" s="55"/>
      <c r="AQ60" s="55"/>
      <c r="AR60" s="55"/>
      <c r="AS60" s="55"/>
      <c r="AT60" s="55"/>
    </row>
    <row r="61" spans="1:46" ht="15" x14ac:dyDescent="0.25">
      <c r="A61" s="149"/>
      <c r="E61" s="55"/>
      <c r="L61" s="55"/>
      <c r="U61" s="162"/>
      <c r="V61" s="162"/>
      <c r="W61" s="162"/>
      <c r="X61" s="163"/>
      <c r="Y61" s="175"/>
      <c r="Z61" s="175"/>
      <c r="AA61" s="175"/>
      <c r="AB61" s="164"/>
      <c r="AC61" s="164"/>
      <c r="AD61" s="165"/>
      <c r="AE61" s="165"/>
      <c r="AM61" s="55"/>
      <c r="AN61" s="55"/>
      <c r="AO61" s="55"/>
      <c r="AP61" s="55"/>
      <c r="AQ61" s="55"/>
      <c r="AR61" s="55"/>
      <c r="AS61" s="55"/>
      <c r="AT61" s="55"/>
    </row>
    <row r="62" spans="1:46" ht="15" x14ac:dyDescent="0.25">
      <c r="A62" s="149"/>
      <c r="E62" s="55"/>
      <c r="L62" s="55"/>
      <c r="U62" s="162"/>
      <c r="V62" s="162"/>
      <c r="W62" s="162"/>
      <c r="X62" s="163"/>
      <c r="Y62" s="175"/>
      <c r="Z62" s="175"/>
      <c r="AA62" s="175"/>
      <c r="AB62" s="164"/>
      <c r="AC62" s="164"/>
      <c r="AD62" s="165"/>
      <c r="AE62" s="165"/>
      <c r="AM62" s="55"/>
      <c r="AN62" s="55"/>
      <c r="AO62" s="55"/>
      <c r="AP62" s="55"/>
      <c r="AQ62" s="55"/>
      <c r="AR62" s="55"/>
      <c r="AS62" s="55"/>
      <c r="AT62" s="55"/>
    </row>
    <row r="63" spans="1:46" ht="15" x14ac:dyDescent="0.25">
      <c r="A63" s="149"/>
      <c r="E63" s="55"/>
      <c r="L63" s="55"/>
      <c r="U63" s="162"/>
      <c r="V63" s="162"/>
      <c r="W63" s="162"/>
      <c r="X63" s="163"/>
      <c r="Y63" s="175"/>
      <c r="Z63" s="175"/>
      <c r="AA63" s="175"/>
      <c r="AB63" s="164"/>
      <c r="AC63" s="164"/>
      <c r="AD63" s="165"/>
      <c r="AE63" s="165"/>
      <c r="AM63" s="55"/>
      <c r="AN63" s="55"/>
      <c r="AO63" s="55"/>
      <c r="AP63" s="55"/>
      <c r="AQ63" s="55"/>
      <c r="AR63" s="55"/>
      <c r="AS63" s="55"/>
      <c r="AT63" s="55"/>
    </row>
    <row r="64" spans="1:46" ht="15" x14ac:dyDescent="0.25">
      <c r="A64" s="149"/>
      <c r="E64" s="55"/>
      <c r="L64" s="55"/>
      <c r="U64" s="162"/>
      <c r="V64" s="162"/>
      <c r="W64" s="162"/>
      <c r="X64" s="163"/>
      <c r="Y64" s="175"/>
      <c r="Z64" s="175"/>
      <c r="AA64" s="175"/>
      <c r="AB64" s="164"/>
      <c r="AC64" s="164"/>
      <c r="AD64" s="165"/>
      <c r="AE64" s="165"/>
      <c r="AM64" s="55"/>
      <c r="AN64" s="55"/>
      <c r="AO64" s="55"/>
      <c r="AP64" s="55"/>
      <c r="AQ64" s="55"/>
      <c r="AR64" s="55"/>
      <c r="AS64" s="55"/>
      <c r="AT64" s="55"/>
    </row>
    <row r="65" spans="1:46" ht="15" x14ac:dyDescent="0.25">
      <c r="A65" s="149"/>
      <c r="E65" s="55"/>
      <c r="L65" s="55"/>
      <c r="U65" s="162"/>
      <c r="V65" s="162"/>
      <c r="W65" s="162"/>
      <c r="X65" s="163"/>
      <c r="Y65" s="175"/>
      <c r="Z65" s="175"/>
      <c r="AA65" s="175"/>
      <c r="AB65" s="164"/>
      <c r="AC65" s="164"/>
      <c r="AD65" s="165"/>
      <c r="AE65" s="165"/>
      <c r="AM65" s="55"/>
      <c r="AN65" s="55"/>
      <c r="AO65" s="55"/>
      <c r="AP65" s="55"/>
      <c r="AQ65" s="55"/>
      <c r="AR65" s="55"/>
      <c r="AS65" s="55"/>
      <c r="AT65" s="55"/>
    </row>
    <row r="66" spans="1:46" ht="15" x14ac:dyDescent="0.25">
      <c r="A66" s="149"/>
      <c r="E66" s="55"/>
      <c r="L66" s="55"/>
      <c r="U66" s="162"/>
      <c r="V66" s="162"/>
      <c r="W66" s="162"/>
      <c r="X66" s="163"/>
      <c r="Y66" s="175"/>
      <c r="Z66" s="175"/>
      <c r="AA66" s="175"/>
      <c r="AB66" s="164"/>
      <c r="AC66" s="164"/>
      <c r="AD66" s="165"/>
      <c r="AE66" s="165"/>
      <c r="AM66" s="55"/>
      <c r="AN66" s="55"/>
      <c r="AO66" s="55"/>
      <c r="AP66" s="55"/>
      <c r="AQ66" s="55"/>
      <c r="AR66" s="55"/>
      <c r="AS66" s="55"/>
      <c r="AT66" s="55"/>
    </row>
    <row r="67" spans="1:46" ht="15" x14ac:dyDescent="0.25">
      <c r="A67" s="149"/>
      <c r="E67" s="55"/>
      <c r="L67" s="55"/>
      <c r="U67" s="162"/>
      <c r="V67" s="162"/>
      <c r="W67" s="162"/>
      <c r="X67" s="163"/>
      <c r="Y67" s="175"/>
      <c r="Z67" s="175"/>
      <c r="AA67" s="175"/>
      <c r="AB67" s="164"/>
      <c r="AC67" s="164"/>
      <c r="AD67" s="165"/>
      <c r="AE67" s="165"/>
      <c r="AM67" s="55"/>
      <c r="AN67" s="55"/>
      <c r="AO67" s="55"/>
      <c r="AP67" s="55"/>
      <c r="AQ67" s="55"/>
      <c r="AR67" s="55"/>
      <c r="AS67" s="55"/>
      <c r="AT67" s="55"/>
    </row>
    <row r="68" spans="1:46" ht="15" x14ac:dyDescent="0.25">
      <c r="A68" s="149"/>
      <c r="E68" s="55"/>
      <c r="L68" s="55"/>
      <c r="U68" s="162"/>
      <c r="V68" s="162"/>
      <c r="W68" s="162"/>
      <c r="X68" s="163"/>
      <c r="Y68" s="175"/>
      <c r="Z68" s="175"/>
      <c r="AA68" s="175"/>
      <c r="AB68" s="164"/>
      <c r="AC68" s="164"/>
      <c r="AD68" s="165"/>
      <c r="AE68" s="165"/>
      <c r="AM68" s="55"/>
      <c r="AN68" s="55"/>
      <c r="AO68" s="55"/>
      <c r="AP68" s="55"/>
      <c r="AQ68" s="55"/>
      <c r="AR68" s="55"/>
      <c r="AS68" s="55"/>
      <c r="AT68" s="55"/>
    </row>
    <row r="69" spans="1:46" ht="15" x14ac:dyDescent="0.25">
      <c r="A69" s="149"/>
      <c r="E69" s="55"/>
      <c r="L69" s="55"/>
      <c r="U69" s="162"/>
      <c r="V69" s="162"/>
      <c r="W69" s="162"/>
      <c r="X69" s="163"/>
      <c r="Y69" s="175"/>
      <c r="Z69" s="175"/>
      <c r="AA69" s="175"/>
      <c r="AB69" s="164"/>
      <c r="AC69" s="164"/>
      <c r="AD69" s="165"/>
      <c r="AE69" s="165"/>
      <c r="AM69" s="55"/>
      <c r="AN69" s="55"/>
      <c r="AO69" s="55"/>
      <c r="AP69" s="55"/>
      <c r="AQ69" s="55"/>
      <c r="AR69" s="55"/>
      <c r="AS69" s="55"/>
      <c r="AT69" s="55"/>
    </row>
    <row r="70" spans="1:46" ht="15" x14ac:dyDescent="0.25">
      <c r="A70" s="149"/>
      <c r="E70" s="55"/>
      <c r="L70" s="55"/>
      <c r="U70" s="162"/>
      <c r="V70" s="162"/>
      <c r="W70" s="162"/>
      <c r="X70" s="163"/>
      <c r="Y70" s="175"/>
      <c r="Z70" s="175"/>
      <c r="AA70" s="175"/>
      <c r="AB70" s="164"/>
      <c r="AC70" s="164"/>
      <c r="AD70" s="165"/>
      <c r="AE70" s="165"/>
      <c r="AM70" s="55"/>
      <c r="AN70" s="55"/>
      <c r="AO70" s="55"/>
      <c r="AP70" s="55"/>
      <c r="AQ70" s="55"/>
      <c r="AR70" s="55"/>
      <c r="AS70" s="55"/>
      <c r="AT70" s="55"/>
    </row>
    <row r="71" spans="1:46" ht="15" x14ac:dyDescent="0.25">
      <c r="A71" s="149"/>
      <c r="E71" s="55"/>
      <c r="L71" s="55"/>
      <c r="U71" s="162"/>
      <c r="V71" s="162"/>
      <c r="W71" s="162"/>
      <c r="X71" s="163"/>
      <c r="Y71" s="175"/>
      <c r="Z71" s="175"/>
      <c r="AA71" s="175"/>
      <c r="AB71" s="164"/>
      <c r="AC71" s="164"/>
      <c r="AD71" s="165"/>
      <c r="AE71" s="165"/>
      <c r="AM71" s="55"/>
      <c r="AN71" s="55"/>
      <c r="AO71" s="55"/>
      <c r="AP71" s="55"/>
      <c r="AQ71" s="55"/>
      <c r="AR71" s="55"/>
      <c r="AS71" s="55"/>
      <c r="AT71" s="55"/>
    </row>
    <row r="72" spans="1:46" ht="15" x14ac:dyDescent="0.25">
      <c r="A72" s="149"/>
      <c r="E72" s="55"/>
      <c r="L72" s="55"/>
      <c r="U72" s="162"/>
      <c r="V72" s="162"/>
      <c r="W72" s="162"/>
      <c r="X72" s="163"/>
      <c r="Y72" s="175"/>
      <c r="Z72" s="175"/>
      <c r="AA72" s="175"/>
      <c r="AB72" s="164"/>
      <c r="AC72" s="164"/>
      <c r="AD72" s="165"/>
      <c r="AE72" s="165"/>
      <c r="AM72" s="55"/>
      <c r="AN72" s="55"/>
      <c r="AO72" s="55"/>
      <c r="AP72" s="55"/>
      <c r="AQ72" s="55"/>
      <c r="AR72" s="55"/>
      <c r="AS72" s="55"/>
      <c r="AT72" s="55"/>
    </row>
    <row r="73" spans="1:46" ht="15" x14ac:dyDescent="0.25">
      <c r="A73" s="149"/>
      <c r="E73" s="55"/>
      <c r="L73" s="55"/>
      <c r="U73" s="162"/>
      <c r="V73" s="162"/>
      <c r="W73" s="162"/>
      <c r="X73" s="163"/>
      <c r="Y73" s="175"/>
      <c r="Z73" s="175"/>
      <c r="AA73" s="175"/>
      <c r="AB73" s="164"/>
      <c r="AC73" s="164"/>
      <c r="AD73" s="165"/>
      <c r="AE73" s="165"/>
      <c r="AM73" s="55"/>
      <c r="AN73" s="55"/>
      <c r="AO73" s="55"/>
      <c r="AP73" s="55"/>
      <c r="AQ73" s="55"/>
      <c r="AR73" s="55"/>
      <c r="AS73" s="55"/>
      <c r="AT73" s="55"/>
    </row>
    <row r="74" spans="1:46" ht="15" x14ac:dyDescent="0.25">
      <c r="A74" s="149"/>
      <c r="E74" s="55"/>
      <c r="L74" s="55"/>
      <c r="U74" s="162"/>
      <c r="V74" s="162"/>
      <c r="W74" s="162"/>
      <c r="X74" s="163"/>
      <c r="Y74" s="175"/>
      <c r="Z74" s="175"/>
      <c r="AA74" s="175"/>
      <c r="AB74" s="164"/>
      <c r="AC74" s="164"/>
      <c r="AD74" s="165"/>
      <c r="AE74" s="165"/>
      <c r="AM74" s="55"/>
      <c r="AN74" s="55"/>
      <c r="AO74" s="55"/>
      <c r="AP74" s="55"/>
      <c r="AQ74" s="55"/>
      <c r="AR74" s="55"/>
      <c r="AS74" s="55"/>
      <c r="AT74" s="55"/>
    </row>
    <row r="75" spans="1:46" ht="15" x14ac:dyDescent="0.25">
      <c r="A75" s="149"/>
      <c r="E75" s="55"/>
      <c r="L75" s="55"/>
      <c r="U75" s="162"/>
      <c r="V75" s="162"/>
      <c r="W75" s="162"/>
      <c r="X75" s="163"/>
      <c r="Y75" s="175"/>
      <c r="Z75" s="175"/>
      <c r="AA75" s="175"/>
      <c r="AB75" s="164"/>
      <c r="AC75" s="164"/>
      <c r="AD75" s="165"/>
      <c r="AE75" s="165"/>
      <c r="AM75" s="55"/>
      <c r="AN75" s="55"/>
      <c r="AO75" s="55"/>
      <c r="AP75" s="55"/>
      <c r="AQ75" s="55"/>
      <c r="AR75" s="55"/>
      <c r="AS75" s="55"/>
      <c r="AT75" s="55"/>
    </row>
    <row r="76" spans="1:46" ht="15" x14ac:dyDescent="0.25">
      <c r="A76" s="149"/>
      <c r="E76" s="55"/>
      <c r="L76" s="55"/>
      <c r="U76" s="162"/>
      <c r="V76" s="162"/>
      <c r="W76" s="162"/>
      <c r="X76" s="163"/>
      <c r="Y76" s="175"/>
      <c r="Z76" s="175"/>
      <c r="AA76" s="175"/>
      <c r="AB76" s="164"/>
      <c r="AC76" s="164"/>
      <c r="AD76" s="165"/>
      <c r="AE76" s="165"/>
      <c r="AM76" s="55"/>
      <c r="AN76" s="55"/>
      <c r="AO76" s="55"/>
      <c r="AP76" s="55"/>
      <c r="AQ76" s="55"/>
      <c r="AR76" s="55"/>
      <c r="AS76" s="55"/>
      <c r="AT76" s="55"/>
    </row>
    <row r="77" spans="1:46" ht="15" x14ac:dyDescent="0.25">
      <c r="A77" s="149"/>
      <c r="E77" s="55"/>
      <c r="L77" s="55"/>
      <c r="U77" s="162"/>
      <c r="V77" s="162"/>
      <c r="W77" s="162"/>
      <c r="X77" s="163"/>
      <c r="Y77" s="175"/>
      <c r="Z77" s="175"/>
      <c r="AA77" s="175"/>
      <c r="AB77" s="164"/>
      <c r="AC77" s="164"/>
      <c r="AD77" s="165"/>
      <c r="AE77" s="165"/>
      <c r="AM77" s="55"/>
      <c r="AN77" s="55"/>
      <c r="AO77" s="55"/>
      <c r="AP77" s="55"/>
      <c r="AQ77" s="55"/>
      <c r="AR77" s="55"/>
      <c r="AS77" s="55"/>
      <c r="AT77" s="55"/>
    </row>
    <row r="78" spans="1:46" ht="15" x14ac:dyDescent="0.25">
      <c r="A78" s="149"/>
      <c r="E78" s="55"/>
      <c r="L78" s="55"/>
      <c r="U78" s="162"/>
      <c r="V78" s="162"/>
      <c r="W78" s="162"/>
      <c r="X78" s="163"/>
      <c r="Y78" s="175"/>
      <c r="Z78" s="175"/>
      <c r="AA78" s="175"/>
      <c r="AB78" s="164"/>
      <c r="AC78" s="164"/>
      <c r="AD78" s="165"/>
      <c r="AE78" s="165"/>
      <c r="AM78" s="55"/>
      <c r="AN78" s="55"/>
      <c r="AO78" s="55"/>
      <c r="AP78" s="55"/>
      <c r="AQ78" s="55"/>
      <c r="AR78" s="55"/>
      <c r="AS78" s="55"/>
      <c r="AT78" s="55"/>
    </row>
    <row r="79" spans="1:46" ht="15" x14ac:dyDescent="0.25">
      <c r="A79" s="149"/>
      <c r="E79" s="55"/>
      <c r="L79" s="55"/>
      <c r="U79" s="162"/>
      <c r="V79" s="162"/>
      <c r="W79" s="162"/>
      <c r="X79" s="163"/>
      <c r="Y79" s="175"/>
      <c r="Z79" s="175"/>
      <c r="AA79" s="175"/>
      <c r="AB79" s="164"/>
      <c r="AC79" s="164"/>
      <c r="AD79" s="165"/>
      <c r="AE79" s="165"/>
      <c r="AM79" s="55"/>
      <c r="AN79" s="55"/>
      <c r="AO79" s="55"/>
      <c r="AP79" s="55"/>
      <c r="AQ79" s="55"/>
      <c r="AR79" s="55"/>
      <c r="AS79" s="55"/>
      <c r="AT79" s="55"/>
    </row>
    <row r="80" spans="1:46" ht="15" x14ac:dyDescent="0.25">
      <c r="A80" s="149"/>
      <c r="E80" s="55"/>
      <c r="L80" s="55"/>
      <c r="U80" s="162"/>
      <c r="V80" s="162"/>
      <c r="W80" s="162"/>
      <c r="X80" s="163"/>
      <c r="Y80" s="175"/>
      <c r="Z80" s="175"/>
      <c r="AA80" s="175"/>
      <c r="AB80" s="164"/>
      <c r="AC80" s="164"/>
      <c r="AD80" s="165"/>
      <c r="AE80" s="165"/>
      <c r="AM80" s="55"/>
      <c r="AN80" s="55"/>
      <c r="AO80" s="55"/>
      <c r="AP80" s="55"/>
      <c r="AQ80" s="55"/>
      <c r="AR80" s="55"/>
      <c r="AS80" s="55"/>
      <c r="AT80" s="55"/>
    </row>
    <row r="81" spans="1:46" ht="15" x14ac:dyDescent="0.25">
      <c r="A81" s="149"/>
      <c r="E81" s="55"/>
      <c r="L81" s="55"/>
      <c r="U81" s="162"/>
      <c r="V81" s="162"/>
      <c r="W81" s="162"/>
      <c r="X81" s="163"/>
      <c r="Y81" s="175"/>
      <c r="Z81" s="175"/>
      <c r="AA81" s="175"/>
      <c r="AB81" s="164"/>
      <c r="AC81" s="164"/>
      <c r="AD81" s="165"/>
      <c r="AE81" s="165"/>
      <c r="AM81" s="55"/>
      <c r="AN81" s="55"/>
      <c r="AO81" s="55"/>
      <c r="AP81" s="55"/>
      <c r="AQ81" s="55"/>
      <c r="AR81" s="55"/>
      <c r="AS81" s="55"/>
      <c r="AT81" s="55"/>
    </row>
    <row r="82" spans="1:46" ht="15" x14ac:dyDescent="0.25">
      <c r="A82" s="149"/>
      <c r="E82" s="55"/>
      <c r="L82" s="55"/>
      <c r="U82" s="162"/>
      <c r="V82" s="162"/>
      <c r="W82" s="162"/>
      <c r="X82" s="163"/>
      <c r="Y82" s="175"/>
      <c r="Z82" s="175"/>
      <c r="AA82" s="175"/>
      <c r="AB82" s="164"/>
      <c r="AC82" s="164"/>
      <c r="AD82" s="165"/>
      <c r="AE82" s="165"/>
      <c r="AM82" s="55"/>
      <c r="AN82" s="55"/>
      <c r="AO82" s="55"/>
      <c r="AP82" s="55"/>
      <c r="AQ82" s="55"/>
      <c r="AR82" s="55"/>
      <c r="AS82" s="55"/>
      <c r="AT82" s="55"/>
    </row>
    <row r="83" spans="1:46" ht="15" x14ac:dyDescent="0.25">
      <c r="A83" s="149"/>
      <c r="E83" s="55"/>
      <c r="L83" s="55"/>
      <c r="U83" s="162"/>
      <c r="V83" s="162"/>
      <c r="W83" s="162"/>
      <c r="X83" s="163"/>
      <c r="Y83" s="175"/>
      <c r="Z83" s="175"/>
      <c r="AA83" s="175"/>
      <c r="AB83" s="164"/>
      <c r="AC83" s="164"/>
      <c r="AD83" s="165"/>
      <c r="AE83" s="165"/>
      <c r="AM83" s="55"/>
      <c r="AN83" s="55"/>
      <c r="AO83" s="55"/>
      <c r="AP83" s="55"/>
      <c r="AQ83" s="55"/>
      <c r="AR83" s="55"/>
      <c r="AS83" s="55"/>
      <c r="AT83" s="55"/>
    </row>
    <row r="84" spans="1:46" ht="15" x14ac:dyDescent="0.25">
      <c r="A84" s="149"/>
      <c r="E84" s="55"/>
      <c r="L84" s="55"/>
      <c r="U84" s="162"/>
      <c r="V84" s="162"/>
      <c r="W84" s="162"/>
      <c r="X84" s="163"/>
      <c r="Y84" s="175"/>
      <c r="Z84" s="175"/>
      <c r="AA84" s="175"/>
      <c r="AB84" s="164"/>
      <c r="AC84" s="164"/>
      <c r="AD84" s="165"/>
      <c r="AE84" s="165"/>
      <c r="AM84" s="55"/>
      <c r="AN84" s="55"/>
      <c r="AO84" s="55"/>
      <c r="AP84" s="55"/>
      <c r="AQ84" s="55"/>
      <c r="AR84" s="55"/>
      <c r="AS84" s="55"/>
      <c r="AT84" s="55"/>
    </row>
    <row r="85" spans="1:46" ht="15" x14ac:dyDescent="0.25">
      <c r="A85" s="149"/>
      <c r="E85" s="55"/>
      <c r="L85" s="55"/>
      <c r="U85" s="162"/>
      <c r="V85" s="162"/>
      <c r="W85" s="162"/>
      <c r="X85" s="163"/>
      <c r="Y85" s="175"/>
      <c r="Z85" s="175"/>
      <c r="AA85" s="175"/>
      <c r="AB85" s="164"/>
      <c r="AC85" s="164"/>
      <c r="AD85" s="165"/>
      <c r="AE85" s="165"/>
      <c r="AM85" s="55"/>
      <c r="AN85" s="55"/>
      <c r="AO85" s="55"/>
      <c r="AP85" s="55"/>
      <c r="AQ85" s="55"/>
      <c r="AR85" s="55"/>
      <c r="AS85" s="55"/>
      <c r="AT85" s="55"/>
    </row>
    <row r="86" spans="1:46" ht="15" x14ac:dyDescent="0.25">
      <c r="A86" s="149"/>
      <c r="E86" s="55"/>
      <c r="L86" s="55"/>
      <c r="U86" s="162"/>
      <c r="V86" s="162"/>
      <c r="W86" s="162"/>
      <c r="X86" s="163"/>
      <c r="Y86" s="175"/>
      <c r="Z86" s="175"/>
      <c r="AA86" s="175"/>
      <c r="AB86" s="164"/>
      <c r="AC86" s="164"/>
      <c r="AD86" s="165"/>
      <c r="AE86" s="165"/>
      <c r="AM86" s="55"/>
      <c r="AN86" s="55"/>
      <c r="AO86" s="55"/>
      <c r="AP86" s="55"/>
      <c r="AQ86" s="55"/>
      <c r="AR86" s="55"/>
      <c r="AS86" s="55"/>
      <c r="AT86" s="55"/>
    </row>
    <row r="87" spans="1:46" ht="15" x14ac:dyDescent="0.25">
      <c r="A87" s="149"/>
      <c r="E87" s="55"/>
      <c r="L87" s="55"/>
      <c r="U87" s="162"/>
      <c r="V87" s="162"/>
      <c r="W87" s="162"/>
      <c r="X87" s="163"/>
      <c r="Y87" s="175"/>
      <c r="Z87" s="175"/>
      <c r="AA87" s="175"/>
      <c r="AB87" s="164"/>
      <c r="AC87" s="164"/>
      <c r="AD87" s="165"/>
      <c r="AE87" s="165"/>
      <c r="AM87" s="55"/>
      <c r="AN87" s="55"/>
      <c r="AO87" s="55"/>
      <c r="AP87" s="55"/>
      <c r="AQ87" s="55"/>
      <c r="AR87" s="55"/>
      <c r="AS87" s="55"/>
      <c r="AT87" s="55"/>
    </row>
    <row r="88" spans="1:46" ht="15" x14ac:dyDescent="0.25">
      <c r="A88" s="149"/>
      <c r="E88" s="55"/>
      <c r="L88" s="55"/>
      <c r="U88" s="162"/>
      <c r="V88" s="162"/>
      <c r="W88" s="162"/>
      <c r="X88" s="163"/>
      <c r="Y88" s="175"/>
      <c r="Z88" s="175"/>
      <c r="AA88" s="175"/>
      <c r="AB88" s="164"/>
      <c r="AC88" s="164"/>
      <c r="AD88" s="165"/>
      <c r="AE88" s="165"/>
      <c r="AM88" s="55"/>
      <c r="AN88" s="55"/>
      <c r="AO88" s="55"/>
      <c r="AP88" s="55"/>
      <c r="AQ88" s="55"/>
      <c r="AR88" s="55"/>
      <c r="AS88" s="55"/>
      <c r="AT88" s="55"/>
    </row>
    <row r="89" spans="1:46" ht="15" x14ac:dyDescent="0.25">
      <c r="A89" s="149"/>
      <c r="E89" s="55"/>
      <c r="L89" s="55"/>
      <c r="U89" s="162"/>
      <c r="V89" s="162"/>
      <c r="W89" s="162"/>
      <c r="X89" s="163"/>
      <c r="Y89" s="175"/>
      <c r="Z89" s="175"/>
      <c r="AA89" s="175"/>
      <c r="AB89" s="164"/>
      <c r="AC89" s="164"/>
      <c r="AD89" s="165"/>
      <c r="AE89" s="165"/>
      <c r="AM89" s="55"/>
      <c r="AN89" s="55"/>
      <c r="AO89" s="55"/>
      <c r="AP89" s="55"/>
      <c r="AQ89" s="55"/>
      <c r="AR89" s="55"/>
      <c r="AS89" s="55"/>
      <c r="AT89" s="55"/>
    </row>
    <row r="90" spans="1:46" ht="15" x14ac:dyDescent="0.25">
      <c r="A90" s="149"/>
      <c r="E90" s="55"/>
      <c r="L90" s="55"/>
      <c r="U90" s="162"/>
      <c r="V90" s="162"/>
      <c r="W90" s="162"/>
      <c r="X90" s="163"/>
      <c r="Y90" s="175"/>
      <c r="Z90" s="175"/>
      <c r="AA90" s="175"/>
      <c r="AB90" s="164"/>
      <c r="AC90" s="164"/>
      <c r="AD90" s="165"/>
      <c r="AE90" s="165"/>
      <c r="AM90" s="55"/>
      <c r="AN90" s="55"/>
      <c r="AO90" s="55"/>
      <c r="AP90" s="55"/>
      <c r="AQ90" s="55"/>
      <c r="AR90" s="55"/>
      <c r="AS90" s="55"/>
      <c r="AT90" s="55"/>
    </row>
    <row r="91" spans="1:46" ht="15" x14ac:dyDescent="0.25">
      <c r="A91" s="149"/>
      <c r="E91" s="55"/>
      <c r="L91" s="55"/>
      <c r="U91" s="162"/>
      <c r="V91" s="162"/>
      <c r="W91" s="162"/>
      <c r="X91" s="163"/>
      <c r="Y91" s="175"/>
      <c r="Z91" s="175"/>
      <c r="AA91" s="175"/>
      <c r="AB91" s="164"/>
      <c r="AC91" s="164"/>
      <c r="AD91" s="165"/>
      <c r="AE91" s="165"/>
      <c r="AM91" s="55"/>
      <c r="AN91" s="55"/>
      <c r="AO91" s="55"/>
      <c r="AP91" s="55"/>
      <c r="AQ91" s="55"/>
      <c r="AR91" s="55"/>
      <c r="AS91" s="55"/>
      <c r="AT91" s="55"/>
    </row>
    <row r="92" spans="1:46" ht="15" x14ac:dyDescent="0.25">
      <c r="A92" s="149"/>
      <c r="E92" s="55"/>
      <c r="L92" s="55"/>
      <c r="U92" s="162"/>
      <c r="V92" s="162"/>
      <c r="W92" s="162"/>
      <c r="X92" s="163"/>
      <c r="Y92" s="175"/>
      <c r="Z92" s="175"/>
      <c r="AA92" s="175"/>
      <c r="AB92" s="164"/>
      <c r="AC92" s="164"/>
      <c r="AD92" s="165"/>
      <c r="AE92" s="165"/>
      <c r="AM92" s="55"/>
      <c r="AN92" s="55"/>
      <c r="AO92" s="55"/>
      <c r="AP92" s="55"/>
      <c r="AQ92" s="55"/>
      <c r="AR92" s="55"/>
      <c r="AS92" s="55"/>
      <c r="AT92" s="55"/>
    </row>
    <row r="93" spans="1:46" ht="15" x14ac:dyDescent="0.25">
      <c r="A93" s="149"/>
      <c r="E93" s="55"/>
      <c r="L93" s="55"/>
      <c r="U93" s="162"/>
      <c r="V93" s="162"/>
      <c r="W93" s="162"/>
      <c r="X93" s="163"/>
      <c r="Y93" s="175"/>
      <c r="Z93" s="175"/>
      <c r="AA93" s="175"/>
      <c r="AB93" s="164"/>
      <c r="AC93" s="164"/>
      <c r="AD93" s="165"/>
      <c r="AE93" s="165"/>
      <c r="AM93" s="55"/>
      <c r="AN93" s="55"/>
      <c r="AO93" s="55"/>
      <c r="AP93" s="55"/>
      <c r="AQ93" s="55"/>
      <c r="AR93" s="55"/>
      <c r="AS93" s="55"/>
      <c r="AT93" s="55"/>
    </row>
    <row r="94" spans="1:46" ht="15" x14ac:dyDescent="0.25">
      <c r="A94" s="149"/>
      <c r="E94" s="55"/>
      <c r="L94" s="55"/>
      <c r="U94" s="162"/>
      <c r="V94" s="162"/>
      <c r="W94" s="162"/>
      <c r="X94" s="163"/>
      <c r="Y94" s="175"/>
      <c r="Z94" s="175"/>
      <c r="AA94" s="175"/>
      <c r="AB94" s="164"/>
      <c r="AC94" s="164"/>
      <c r="AD94" s="165"/>
      <c r="AE94" s="165"/>
      <c r="AM94" s="55"/>
      <c r="AN94" s="55"/>
      <c r="AO94" s="55"/>
      <c r="AP94" s="55"/>
      <c r="AQ94" s="55"/>
      <c r="AR94" s="55"/>
      <c r="AS94" s="55"/>
      <c r="AT94" s="55"/>
    </row>
    <row r="95" spans="1:46" ht="15" x14ac:dyDescent="0.25">
      <c r="A95" s="149"/>
      <c r="E95" s="55"/>
      <c r="L95" s="55"/>
      <c r="U95" s="162"/>
      <c r="V95" s="162"/>
      <c r="W95" s="162"/>
      <c r="X95" s="163"/>
      <c r="Y95" s="175"/>
      <c r="Z95" s="175"/>
      <c r="AA95" s="175"/>
      <c r="AB95" s="164"/>
      <c r="AC95" s="164"/>
      <c r="AD95" s="165"/>
      <c r="AE95" s="165"/>
      <c r="AM95" s="55"/>
      <c r="AN95" s="55"/>
      <c r="AO95" s="55"/>
      <c r="AP95" s="55"/>
      <c r="AQ95" s="55"/>
      <c r="AR95" s="55"/>
      <c r="AS95" s="55"/>
      <c r="AT95" s="55"/>
    </row>
    <row r="96" spans="1:46" ht="15" x14ac:dyDescent="0.25">
      <c r="A96" s="149"/>
      <c r="E96" s="55"/>
      <c r="L96" s="55"/>
      <c r="U96" s="162"/>
      <c r="V96" s="162"/>
      <c r="W96" s="162"/>
      <c r="X96" s="163"/>
      <c r="Y96" s="175"/>
      <c r="Z96" s="175"/>
      <c r="AA96" s="175"/>
      <c r="AB96" s="164"/>
      <c r="AC96" s="164"/>
      <c r="AD96" s="165"/>
      <c r="AE96" s="165"/>
      <c r="AM96" s="55"/>
      <c r="AN96" s="55"/>
      <c r="AO96" s="55"/>
      <c r="AP96" s="55"/>
      <c r="AQ96" s="55"/>
      <c r="AR96" s="55"/>
      <c r="AS96" s="55"/>
      <c r="AT96" s="55"/>
    </row>
    <row r="97" spans="1:46" ht="15" x14ac:dyDescent="0.25">
      <c r="A97" s="149"/>
      <c r="E97" s="55"/>
      <c r="L97" s="55"/>
      <c r="U97" s="162"/>
      <c r="V97" s="162"/>
      <c r="W97" s="162"/>
      <c r="X97" s="163"/>
      <c r="Y97" s="175"/>
      <c r="Z97" s="175"/>
      <c r="AA97" s="175"/>
      <c r="AB97" s="164"/>
      <c r="AC97" s="164"/>
      <c r="AD97" s="165"/>
      <c r="AE97" s="165"/>
      <c r="AM97" s="55"/>
      <c r="AN97" s="55"/>
      <c r="AO97" s="55"/>
      <c r="AP97" s="55"/>
      <c r="AQ97" s="55"/>
      <c r="AR97" s="55"/>
      <c r="AS97" s="55"/>
      <c r="AT97" s="55"/>
    </row>
    <row r="98" spans="1:46" ht="15" x14ac:dyDescent="0.25">
      <c r="A98" s="149"/>
      <c r="E98" s="55"/>
      <c r="L98" s="55"/>
      <c r="U98" s="162"/>
      <c r="V98" s="162"/>
      <c r="W98" s="162"/>
      <c r="X98" s="163"/>
      <c r="Y98" s="175"/>
      <c r="Z98" s="175"/>
      <c r="AA98" s="175"/>
      <c r="AB98" s="164"/>
      <c r="AC98" s="164"/>
      <c r="AD98" s="165"/>
      <c r="AE98" s="165"/>
      <c r="AM98" s="55"/>
      <c r="AN98" s="55"/>
      <c r="AO98" s="55"/>
      <c r="AP98" s="55"/>
      <c r="AQ98" s="55"/>
      <c r="AR98" s="55"/>
      <c r="AS98" s="55"/>
      <c r="AT98" s="55"/>
    </row>
    <row r="99" spans="1:46" ht="15" x14ac:dyDescent="0.25">
      <c r="A99" s="149"/>
      <c r="E99" s="55"/>
      <c r="L99" s="55"/>
      <c r="U99" s="162"/>
      <c r="V99" s="162"/>
      <c r="W99" s="162"/>
      <c r="X99" s="163"/>
      <c r="Y99" s="175"/>
      <c r="Z99" s="175"/>
      <c r="AA99" s="175"/>
      <c r="AB99" s="164"/>
      <c r="AC99" s="164"/>
      <c r="AD99" s="165"/>
      <c r="AE99" s="165"/>
      <c r="AM99" s="55"/>
      <c r="AN99" s="55"/>
      <c r="AO99" s="55"/>
      <c r="AP99" s="55"/>
      <c r="AQ99" s="55"/>
      <c r="AR99" s="55"/>
      <c r="AS99" s="55"/>
      <c r="AT99" s="55"/>
    </row>
    <row r="100" spans="1:46" ht="15" x14ac:dyDescent="0.25">
      <c r="A100" s="149"/>
      <c r="E100" s="55"/>
      <c r="L100" s="55"/>
      <c r="U100" s="162"/>
      <c r="V100" s="162"/>
      <c r="W100" s="162"/>
      <c r="X100" s="163"/>
      <c r="Y100" s="175"/>
      <c r="Z100" s="175"/>
      <c r="AA100" s="175"/>
      <c r="AB100" s="164"/>
      <c r="AC100" s="164"/>
      <c r="AD100" s="165"/>
      <c r="AE100" s="165"/>
      <c r="AM100" s="55"/>
      <c r="AN100" s="55"/>
      <c r="AO100" s="55"/>
      <c r="AP100" s="55"/>
      <c r="AQ100" s="55"/>
      <c r="AR100" s="55"/>
      <c r="AS100" s="55"/>
      <c r="AT100" s="55"/>
    </row>
    <row r="101" spans="1:46" ht="15" x14ac:dyDescent="0.25">
      <c r="A101" s="149"/>
      <c r="E101" s="55"/>
      <c r="L101" s="55"/>
      <c r="U101" s="162"/>
      <c r="V101" s="162"/>
      <c r="W101" s="162"/>
      <c r="X101" s="163"/>
      <c r="Y101" s="175"/>
      <c r="Z101" s="175"/>
      <c r="AA101" s="175"/>
      <c r="AB101" s="164"/>
      <c r="AC101" s="164"/>
      <c r="AD101" s="165"/>
      <c r="AE101" s="165"/>
      <c r="AM101" s="55"/>
      <c r="AN101" s="55"/>
      <c r="AO101" s="55"/>
      <c r="AP101" s="55"/>
      <c r="AQ101" s="55"/>
      <c r="AR101" s="55"/>
      <c r="AS101" s="55"/>
      <c r="AT101" s="55"/>
    </row>
    <row r="102" spans="1:46" ht="15" x14ac:dyDescent="0.25">
      <c r="A102" s="149"/>
      <c r="E102" s="55"/>
      <c r="L102" s="55"/>
      <c r="U102" s="162"/>
      <c r="V102" s="162"/>
      <c r="W102" s="162"/>
      <c r="X102" s="163"/>
      <c r="Y102" s="175"/>
      <c r="Z102" s="175"/>
      <c r="AA102" s="175"/>
      <c r="AB102" s="164"/>
      <c r="AC102" s="164"/>
      <c r="AD102" s="165"/>
      <c r="AE102" s="165"/>
      <c r="AM102" s="55"/>
      <c r="AN102" s="55"/>
      <c r="AO102" s="55"/>
      <c r="AP102" s="55"/>
      <c r="AQ102" s="55"/>
      <c r="AR102" s="55"/>
      <c r="AS102" s="55"/>
      <c r="AT102" s="55"/>
    </row>
    <row r="103" spans="1:46" ht="15" x14ac:dyDescent="0.25">
      <c r="A103" s="149"/>
      <c r="E103" s="55"/>
      <c r="L103" s="55"/>
      <c r="U103" s="162"/>
      <c r="V103" s="162"/>
      <c r="W103" s="162"/>
      <c r="X103" s="163"/>
      <c r="Y103" s="175"/>
      <c r="Z103" s="175"/>
      <c r="AA103" s="175"/>
      <c r="AB103" s="164"/>
      <c r="AC103" s="164"/>
      <c r="AD103" s="165"/>
      <c r="AE103" s="165"/>
      <c r="AM103" s="55"/>
      <c r="AN103" s="55"/>
      <c r="AO103" s="55"/>
      <c r="AP103" s="55"/>
      <c r="AQ103" s="55"/>
      <c r="AR103" s="55"/>
      <c r="AS103" s="55"/>
      <c r="AT103" s="55"/>
    </row>
    <row r="104" spans="1:46" ht="15" x14ac:dyDescent="0.25">
      <c r="A104" s="149"/>
      <c r="E104" s="55"/>
      <c r="L104" s="55"/>
      <c r="U104" s="162"/>
      <c r="V104" s="162"/>
      <c r="W104" s="162"/>
      <c r="X104" s="163"/>
      <c r="Y104" s="175"/>
      <c r="Z104" s="175"/>
      <c r="AA104" s="175"/>
      <c r="AB104" s="164"/>
      <c r="AC104" s="164"/>
      <c r="AD104" s="165"/>
      <c r="AE104" s="165"/>
      <c r="AM104" s="55"/>
      <c r="AN104" s="55"/>
      <c r="AO104" s="55"/>
      <c r="AP104" s="55"/>
      <c r="AQ104" s="55"/>
      <c r="AR104" s="55"/>
      <c r="AS104" s="55"/>
      <c r="AT104" s="55"/>
    </row>
    <row r="105" spans="1:46" ht="15" x14ac:dyDescent="0.25">
      <c r="A105" s="149"/>
      <c r="E105" s="55"/>
      <c r="L105" s="55"/>
      <c r="U105" s="162"/>
      <c r="V105" s="162"/>
      <c r="W105" s="162"/>
      <c r="X105" s="163"/>
      <c r="Y105" s="175"/>
      <c r="Z105" s="175"/>
      <c r="AA105" s="175"/>
      <c r="AB105" s="164"/>
      <c r="AC105" s="164"/>
      <c r="AD105" s="165"/>
      <c r="AE105" s="165"/>
      <c r="AM105" s="55"/>
      <c r="AN105" s="55"/>
      <c r="AO105" s="55"/>
      <c r="AP105" s="55"/>
      <c r="AQ105" s="55"/>
      <c r="AR105" s="55"/>
      <c r="AS105" s="55"/>
      <c r="AT105" s="55"/>
    </row>
    <row r="106" spans="1:46" ht="15" x14ac:dyDescent="0.25">
      <c r="A106" s="149"/>
      <c r="E106" s="55"/>
      <c r="L106" s="55"/>
      <c r="U106" s="162"/>
      <c r="V106" s="162"/>
      <c r="W106" s="162"/>
      <c r="X106" s="163"/>
      <c r="Y106" s="175"/>
      <c r="Z106" s="175"/>
      <c r="AA106" s="175"/>
      <c r="AB106" s="164"/>
      <c r="AC106" s="164"/>
      <c r="AD106" s="165"/>
      <c r="AE106" s="165"/>
      <c r="AM106" s="55"/>
      <c r="AN106" s="55"/>
      <c r="AO106" s="55"/>
      <c r="AP106" s="55"/>
      <c r="AQ106" s="55"/>
      <c r="AR106" s="55"/>
      <c r="AS106" s="55"/>
      <c r="AT106" s="55"/>
    </row>
    <row r="107" spans="1:46" ht="15" x14ac:dyDescent="0.25">
      <c r="A107" s="149"/>
      <c r="E107" s="55"/>
      <c r="L107" s="55"/>
      <c r="U107" s="162"/>
      <c r="V107" s="162"/>
      <c r="W107" s="162"/>
      <c r="X107" s="163"/>
      <c r="Y107" s="175"/>
      <c r="Z107" s="175"/>
      <c r="AA107" s="175"/>
      <c r="AB107" s="164"/>
      <c r="AC107" s="164"/>
      <c r="AD107" s="165"/>
      <c r="AE107" s="165"/>
      <c r="AM107" s="55"/>
      <c r="AN107" s="55"/>
      <c r="AO107" s="55"/>
      <c r="AP107" s="55"/>
      <c r="AQ107" s="55"/>
      <c r="AR107" s="55"/>
      <c r="AS107" s="55"/>
      <c r="AT107" s="55"/>
    </row>
    <row r="109" spans="1:46" ht="20.25" x14ac:dyDescent="0.3">
      <c r="A109" s="1" t="s">
        <v>101</v>
      </c>
      <c r="B109" s="1"/>
      <c r="C109" s="1"/>
      <c r="D109" s="1"/>
      <c r="E109" s="1"/>
      <c r="F109" s="1"/>
      <c r="G109" s="1"/>
      <c r="H109" s="1"/>
      <c r="I109" s="1"/>
      <c r="J109" s="1"/>
      <c r="K109" s="1"/>
      <c r="L109" s="1"/>
      <c r="M109" s="1"/>
      <c r="N109" s="1"/>
      <c r="O109" s="1"/>
      <c r="P109" s="1"/>
      <c r="Q109" s="2"/>
      <c r="R109" s="2"/>
      <c r="S109" s="2"/>
      <c r="T109" s="2"/>
    </row>
    <row r="110" spans="1:46" ht="15.75" customHeight="1" thickBot="1" x14ac:dyDescent="0.3">
      <c r="A110" s="293" t="s">
        <v>109</v>
      </c>
      <c r="B110" s="293"/>
      <c r="C110" s="293"/>
      <c r="D110" s="293"/>
      <c r="E110" s="293"/>
      <c r="F110" s="293"/>
      <c r="G110" s="293"/>
      <c r="H110" s="293"/>
      <c r="I110" s="293"/>
      <c r="J110" s="293"/>
      <c r="K110" s="293"/>
      <c r="L110" s="293"/>
      <c r="M110" s="293"/>
      <c r="N110" s="293"/>
      <c r="O110" s="293"/>
      <c r="P110" s="293"/>
      <c r="Q110" s="293"/>
      <c r="R110" s="293"/>
      <c r="S110" s="293"/>
      <c r="T110" s="293"/>
      <c r="U110" s="293"/>
      <c r="V110" s="293"/>
      <c r="W110" s="293"/>
      <c r="X110" s="293"/>
    </row>
    <row r="111" spans="1:46" ht="15.75" thickBot="1" x14ac:dyDescent="0.3">
      <c r="A111" s="3" t="s">
        <v>0</v>
      </c>
      <c r="B111" s="4"/>
      <c r="C111" s="4"/>
      <c r="D111" s="5"/>
      <c r="E111" s="6" t="s">
        <v>1</v>
      </c>
      <c r="F111" s="7"/>
      <c r="G111" s="8"/>
      <c r="H111" s="9" t="s">
        <v>2</v>
      </c>
      <c r="I111" s="10"/>
      <c r="J111" s="11"/>
      <c r="K111" s="9" t="s">
        <v>3</v>
      </c>
      <c r="L111" s="10"/>
      <c r="M111" s="11"/>
      <c r="N111" s="9" t="s">
        <v>4</v>
      </c>
      <c r="O111" s="10"/>
      <c r="P111" s="11"/>
      <c r="Q111" s="9" t="s">
        <v>5</v>
      </c>
      <c r="R111" s="10"/>
      <c r="S111" s="10"/>
      <c r="T111" s="11"/>
      <c r="U111" s="9" t="s">
        <v>6</v>
      </c>
      <c r="V111" s="10"/>
      <c r="W111" s="10"/>
      <c r="X111" s="11"/>
      <c r="Y111" s="9" t="s">
        <v>7</v>
      </c>
      <c r="Z111" s="10"/>
      <c r="AA111" s="10"/>
      <c r="AB111" s="11"/>
    </row>
    <row r="112" spans="1:46" ht="30.75" thickBot="1" x14ac:dyDescent="0.3">
      <c r="A112" s="12" t="s">
        <v>8</v>
      </c>
      <c r="B112" s="13" t="s">
        <v>9</v>
      </c>
      <c r="C112" s="13" t="s">
        <v>10</v>
      </c>
      <c r="D112" s="14" t="s">
        <v>11</v>
      </c>
      <c r="E112" s="15" t="s">
        <v>12</v>
      </c>
      <c r="F112" s="16" t="s">
        <v>13</v>
      </c>
      <c r="G112" s="17" t="s">
        <v>14</v>
      </c>
      <c r="H112" s="15" t="s">
        <v>12</v>
      </c>
      <c r="I112" s="16" t="s">
        <v>15</v>
      </c>
      <c r="J112" s="17" t="s">
        <v>16</v>
      </c>
      <c r="K112" s="15" t="s">
        <v>12</v>
      </c>
      <c r="L112" s="16" t="s">
        <v>15</v>
      </c>
      <c r="M112" s="17" t="s">
        <v>16</v>
      </c>
      <c r="N112" s="15" t="s">
        <v>12</v>
      </c>
      <c r="O112" s="16" t="s">
        <v>15</v>
      </c>
      <c r="P112" s="17" t="s">
        <v>16</v>
      </c>
      <c r="Q112" s="18" t="s">
        <v>17</v>
      </c>
      <c r="R112" s="13" t="s">
        <v>18</v>
      </c>
      <c r="S112" s="13" t="s">
        <v>15</v>
      </c>
      <c r="T112" s="19" t="s">
        <v>16</v>
      </c>
      <c r="U112" s="18" t="s">
        <v>17</v>
      </c>
      <c r="V112" s="13" t="s">
        <v>18</v>
      </c>
      <c r="W112" s="13" t="s">
        <v>15</v>
      </c>
      <c r="X112" s="19" t="s">
        <v>16</v>
      </c>
      <c r="Y112" s="18" t="s">
        <v>17</v>
      </c>
      <c r="Z112" s="13" t="s">
        <v>18</v>
      </c>
      <c r="AA112" s="13" t="s">
        <v>15</v>
      </c>
      <c r="AB112" s="19" t="s">
        <v>16</v>
      </c>
    </row>
    <row r="113" spans="1:47" ht="15" x14ac:dyDescent="0.25">
      <c r="A113" s="20">
        <v>1</v>
      </c>
      <c r="B113" s="21">
        <v>0</v>
      </c>
      <c r="C113" s="21">
        <v>50</v>
      </c>
      <c r="D113" s="22">
        <v>20</v>
      </c>
      <c r="E113" s="23">
        <f>IF(AND(C128&gt;B113,C128&lt;=C113),C128,0)</f>
        <v>0</v>
      </c>
      <c r="F113" s="24">
        <f>IF(C128&gt;0,D113,0)</f>
        <v>20</v>
      </c>
      <c r="G113" s="22">
        <f>IF(E113&gt;0,IF(E113=B113,D113,IF(AND(E113&gt;B113,E113&lt;=C113),D113+(E113-B113)*((D113-D113)/(C113-B113)),0)),0)</f>
        <v>0</v>
      </c>
      <c r="H113" s="25">
        <f>IF(AND(C137&gt;B113,C137&lt;=C113),C137,0)</f>
        <v>0</v>
      </c>
      <c r="I113" s="24">
        <f>IF(C137&gt;0,D113,0)</f>
        <v>20</v>
      </c>
      <c r="J113" s="22">
        <f>IF(H113&gt;0,IF(H113=B113,D113,IF(AND(H113&gt;B113,H113&lt;=C113),D113+(H113-B113)*((D113-D113)/(C113-B113)),0)),0)</f>
        <v>0</v>
      </c>
      <c r="K113" s="26">
        <f>IF(AND(C139&gt;B113,C139&lt;=C113),C139,0)</f>
        <v>0</v>
      </c>
      <c r="L113" s="24">
        <f>IF(C137&gt;0,D113,0)</f>
        <v>20</v>
      </c>
      <c r="M113" s="22">
        <f>IF(K113&gt;0,IF(K113=B113,D113,IF(AND(K113&gt;B113,K113&lt;=C113),D113+(K113-B113)*((D113-D113)/(C113-B113)),0)),0)</f>
        <v>0</v>
      </c>
      <c r="N113" s="26">
        <f>IF(AND(C140&gt;E113,C140&lt;=F113),C140,0)</f>
        <v>0</v>
      </c>
      <c r="O113" s="24">
        <f>IF(C140&gt;0,D113,0)</f>
        <v>20</v>
      </c>
      <c r="P113" s="22">
        <f>IF(N113&gt;0,IF(N113=B113,D113,IF(AND(N113&gt;B113,N113&lt;=C113),D113+(N113-B113)*((D113-D113)/(C113-B113)),0)),0)</f>
        <v>0</v>
      </c>
      <c r="Q113" s="26">
        <f>IF(C137=C113,C137,0)</f>
        <v>0</v>
      </c>
      <c r="R113" s="21">
        <f>IF(C151=C113,C151,0)</f>
        <v>0</v>
      </c>
      <c r="S113" s="24">
        <f>IF(Q113&gt;0,D113,0)</f>
        <v>0</v>
      </c>
      <c r="T113" s="22">
        <f>IF(R113&gt;0,IF(R113=B113,D113,IF(AND(R113&gt;B113,R113&lt;=C113),D113+(R113-B113)*((D113-D113)/(C113-B113)),0)),0)</f>
        <v>0</v>
      </c>
      <c r="U113" s="26">
        <f>IF(C161=C113,C113,0)</f>
        <v>0</v>
      </c>
      <c r="V113" s="21">
        <f>IF(C158 = 1,IF((C139-C147)=C113,(C139-C147),0),0)</f>
        <v>0</v>
      </c>
      <c r="W113" s="24">
        <f>IF(U113&gt;0,D113,0)</f>
        <v>0</v>
      </c>
      <c r="X113" s="22">
        <f>IF(V113&gt;0,IF(V113=B113,D113,IF(AND(V113&gt;B113,V113&lt;=C113),D113+(V113-B113)*((D113-D113)/(C113-B113)),0)),0)</f>
        <v>0</v>
      </c>
      <c r="Y113" s="26">
        <f>IF(C162=C113,C113,0)</f>
        <v>0</v>
      </c>
      <c r="Z113" s="21">
        <f>IF(C158 = 1,IF((C139-C147)=C113,(C139-C147),0),0)</f>
        <v>0</v>
      </c>
      <c r="AA113" s="24">
        <f>IF(Y113&gt;0,D113,0)</f>
        <v>0</v>
      </c>
      <c r="AB113" s="22">
        <f>IF(Z113&gt;0,IF(Z113=B113,D113,IF(AND(Z113&gt;B113,Z113&lt;=C113),D113+(Z113-B113)*((D113-D113)/(C113-B113)),0)),0)</f>
        <v>0</v>
      </c>
    </row>
    <row r="114" spans="1:47" ht="15" x14ac:dyDescent="0.25">
      <c r="A114" s="27">
        <v>2</v>
      </c>
      <c r="B114" s="28">
        <v>50</v>
      </c>
      <c r="C114" s="28">
        <v>75</v>
      </c>
      <c r="D114" s="29">
        <v>25</v>
      </c>
      <c r="E114" s="30">
        <f>IF(AND(C128&gt;B114,C128&lt;=C114),C128,0)</f>
        <v>0</v>
      </c>
      <c r="F114" s="31">
        <v>0</v>
      </c>
      <c r="G114" s="29">
        <f>IF(E114&gt;0,IF(AND(E114&gt;B114,E114&lt;C114),D113+(E114-B114)*((D114-D113)/(C114-B114)),0),0)</f>
        <v>0</v>
      </c>
      <c r="H114" s="32">
        <f>IF(AND(C137&gt;B114,C137&lt;=C114),C137,0)</f>
        <v>0</v>
      </c>
      <c r="I114" s="31">
        <v>0</v>
      </c>
      <c r="J114" s="29">
        <f>IF(H114&gt;0,IF(H114=B114,D114,IF(AND(H114&gt;B114,H114&lt;=C114),D113+(H114-B114)*((D114-D113)/(C114-B114)),0)),0)</f>
        <v>0</v>
      </c>
      <c r="K114" s="32">
        <f>IF(AND(C139&gt;B114,C139&lt;=C114),C139,0)</f>
        <v>0</v>
      </c>
      <c r="L114" s="31">
        <v>0</v>
      </c>
      <c r="M114" s="29">
        <f>IF(K114&gt;0,IF(K114=B114,D114,IF(AND(K114&gt;B114,K114&lt;=C114),D113+(K114-B114)*((D114-D113)/(C114-B114)),0)),0)</f>
        <v>0</v>
      </c>
      <c r="N114" s="32">
        <f>IF(AND(C140&gt;B114,C140&lt;=C114),C140,0)</f>
        <v>0</v>
      </c>
      <c r="O114" s="31">
        <v>0</v>
      </c>
      <c r="P114" s="29">
        <f>IF(N114&gt;0,IF(N114=B114,D114,IF(AND(N114&gt;B114,N114&lt;=C114),D113+(N114-B114)*((D114-D113)/(C114-B114)),0)),0)</f>
        <v>0</v>
      </c>
      <c r="Q114" s="32">
        <f>IF(AND(C128&gt;B114,C128&lt;=C114),C128,0)</f>
        <v>0</v>
      </c>
      <c r="R114" s="28">
        <f>IF(AND(C151&gt;B114,C151&lt;=C114),C151,0)</f>
        <v>0</v>
      </c>
      <c r="S114" s="31">
        <f>IF(Q114&gt;0,IF(Q114=B114,D114,IF(AND(Q114&gt;B114,Q114&lt;=C114),D113+(Q114-B114)*((D114-D113)/(C114-B114)),0)),0)</f>
        <v>0</v>
      </c>
      <c r="T114" s="29">
        <f>IF(R114&gt;0,IF(R114=B114,D114,IF(AND(R114&gt;B114,R114&lt;=C114),D113+(R114-B114)*((D114-D113)/(C114-B114)),0)),0)</f>
        <v>0</v>
      </c>
      <c r="U114" s="32">
        <f>IF(C158 = 1,IF(AND(C161&gt;B114,C161&lt;=C114),C161,0),0)</f>
        <v>0</v>
      </c>
      <c r="V114" s="28">
        <f>IF(C158 = 1,IF(AND((MIN(C140,C150)-C147)&gt;B114,(MIN(C140,C150)-C147)&lt;=C114),(MIN(C140,C150)-C147),0),0)</f>
        <v>0</v>
      </c>
      <c r="W114" s="31">
        <f>IF(U114&gt;0,IF(U114=B114,D114,IF(AND(U114&gt;B114,U114&lt;=C114),D113+(U114-B114)*((D114-D113)/(C114-B114)),0)),0)</f>
        <v>0</v>
      </c>
      <c r="X114" s="29">
        <f>IF(V114&gt;0,IF(V114=B114,D114,IF(AND(V114&gt;B114,V114&lt;=C114),D113+(V114-B114)*((D114-D113)/(C114-B114)),0)),0)</f>
        <v>0</v>
      </c>
      <c r="Y114" s="32">
        <f>IF(C158 = 1,IF(AND(C162&gt;B114,C162&lt;=C114),C162,0),0)</f>
        <v>0</v>
      </c>
      <c r="Z114" s="28">
        <f>IF(C158 = 1,IF(AND((MIN(C140,C150)-C147)&gt;B114,(MIN(C140,C150)-C147)&lt;=C114),(MIN(C140,C150)-C147),0),0)</f>
        <v>0</v>
      </c>
      <c r="AA114" s="31">
        <f>IF(Y114&gt;0,IF(Y114=B114,D114,IF(AND(Y114&gt;B114,Y114&lt;=C114),D113+(Y114-B114)*((D114-D113)/(C114-B114)),0)),0)</f>
        <v>0</v>
      </c>
      <c r="AB114" s="29">
        <f>IF(Z114&gt;0,IF(Z114=B114,D114,IF(AND(Z114&gt;B114,Z114&lt;=C114),D113+(Z114-B114)*((D114-D113)/(C114-B114)),0)),0)</f>
        <v>0</v>
      </c>
    </row>
    <row r="115" spans="1:47" ht="15.75" thickBot="1" x14ac:dyDescent="0.3">
      <c r="A115" s="33">
        <v>3</v>
      </c>
      <c r="B115" s="34">
        <v>75</v>
      </c>
      <c r="C115" s="34">
        <v>100</v>
      </c>
      <c r="D115" s="35">
        <v>30</v>
      </c>
      <c r="E115" s="36">
        <f>IF(AND(C128&gt;B115,C128&lt;=C115),C128,IF(C128&gt;C115,C128,0))</f>
        <v>80</v>
      </c>
      <c r="F115" s="37">
        <v>0</v>
      </c>
      <c r="G115" s="35">
        <f>IF(E115&gt;0,IF(E115=C115,D115,IF(AND(E115&gt;B115,E115&lt;C115),D114+(E115-B115)*((D115-D114)/(C115-B115)),IF(E115&gt;C115,D115,0))),0)</f>
        <v>26</v>
      </c>
      <c r="H115" s="38">
        <f>IF(AND(C137&gt;B115,C137&lt;=C115),C137,IF(C137&gt;C115,C137,0))</f>
        <v>85</v>
      </c>
      <c r="I115" s="37">
        <v>0</v>
      </c>
      <c r="J115" s="35">
        <f>IF(H115&gt;0,IF(H115=B115,D115,IF(AND(H115&gt;B115,H115&lt;=C115),D114+(H115-B115)*((D115-D114)/(C115-B115)),IF(H115&gt;C115,D115,0))),0)</f>
        <v>27</v>
      </c>
      <c r="K115" s="38">
        <f>IF(AND(C139&gt;B115,C139&lt;=C115),C139,IF(C139&gt;C115,C139,0))</f>
        <v>85</v>
      </c>
      <c r="L115" s="37">
        <v>0</v>
      </c>
      <c r="M115" s="35">
        <f>IF(K115&gt;0,IF(K115=B115,D115,IF(AND(K115&gt;B115,K115&lt;=C115),D114+(K115-B115)*((D115-D114)/(C115-B115)),IF(K115&gt;C115,D115,0))),0)</f>
        <v>27</v>
      </c>
      <c r="N115" s="38">
        <f>IF(AND(C140&gt;B115,C140&lt;=C115),C140,IF(C140&gt;C115,C140,0))</f>
        <v>100</v>
      </c>
      <c r="O115" s="37">
        <v>0</v>
      </c>
      <c r="P115" s="35">
        <f>IF(N115&gt;0,IF(N115=B115,D115,IF(AND(N115&gt;B115,N115&lt;=C115),D114+(N115-B115)*((D115-D114)/(C115-B115)),IF(N115&gt;C115,D115,0))),0)</f>
        <v>30</v>
      </c>
      <c r="Q115" s="38">
        <f>IF(AND(C128&gt;B115,C128&lt;=C115),C128,0)</f>
        <v>80</v>
      </c>
      <c r="R115" s="34">
        <f>IF(AND(MAX(C151,C158)&gt;B115,MAX(C151,C158)&lt;=C115),MAX(C151,C158),0)</f>
        <v>100</v>
      </c>
      <c r="S115" s="37">
        <f>IF(Q115&gt;0,IF(Q115=B115,D115,IF(AND(Q115&gt;B115,Q115&lt;=C115),D114+(Q115-B115)*((D115-D114)/(C115-B115)),IF(Q115&gt;C115,D115,0))),0)</f>
        <v>26</v>
      </c>
      <c r="T115" s="35">
        <f>IF(R115&gt;0,IF(R115=B115,D115,IF(AND(R115&gt;B115,R115&lt;=C115),D114+(R115-B115)*((D115-D114)/(C115-B115)),IF(R115&gt;C115,D115,0))),0)</f>
        <v>30</v>
      </c>
      <c r="U115" s="38">
        <f>IF(C158 = 1,IF(AND(C161&gt;B115,C161&lt;=C115),C161,0),0)</f>
        <v>100</v>
      </c>
      <c r="V115" s="34">
        <f>IF(C158 = 1,IF(AND((MIN(C140,C150)-C147)&gt;B115,(MIN(C140,C150)-C147)&lt;=C115),(MIN(C140,C150)-C147),0),0)</f>
        <v>80</v>
      </c>
      <c r="W115" s="37">
        <f>IF(U115&gt;0,IF(U115=B115,D115,IF(AND(U115&gt;B115,U115&lt;=C115),D114+(U115-B115)*((D115-D114)/(C115-B115)),IF(U115&gt;C115,D115,0))),0)</f>
        <v>30</v>
      </c>
      <c r="X115" s="35">
        <f>IF(V115&gt;0,IF(V115=B115,D115,IF(AND(V115&gt;B115,V115&lt;=C115),D114+(V115-B115)*((D115-D114)/(C115-B115)),IF(V115&gt;C115,D115,0))),0)</f>
        <v>26</v>
      </c>
      <c r="Y115" s="38">
        <f>IF(C158 = 1,IF(AND(C162&gt;B115,C162&lt;=C115),C162,0),0)</f>
        <v>100</v>
      </c>
      <c r="Z115" s="34">
        <f>IF(C158 = 1,IF(AND((MIN(C140,C150)-C147)&gt;B115,(MIN(C140,C150)-C147)&lt;=C115),(MIN(C140,C150)-C147),0),0)</f>
        <v>80</v>
      </c>
      <c r="AA115" s="37">
        <f>IF(Y115&gt;0,IF(Y115=B115,D115,IF(AND(Y115&gt;B115,Y115&lt;=C115),D114+(Y115-B115)*((D115-D114)/(C115-B115)),IF(Y115&gt;C115,D115,0))),0)</f>
        <v>30</v>
      </c>
      <c r="AB115" s="35">
        <f>IF(Z115&gt;0,IF(Z115=B115,D115,IF(AND(Z115&gt;B115,Z115&lt;=C115),D114+(Z115-B115)*((D115-D114)/(C115-B115)),IF(Z115&gt;C115,D115,0))),0)</f>
        <v>26</v>
      </c>
    </row>
    <row r="116" spans="1:47" ht="15" thickBot="1" x14ac:dyDescent="0.25">
      <c r="J116" s="39"/>
    </row>
    <row r="117" spans="1:47" ht="15.75" thickBot="1" x14ac:dyDescent="0.3">
      <c r="A117" s="9" t="s">
        <v>1</v>
      </c>
      <c r="B117" s="9"/>
      <c r="C117" s="10"/>
      <c r="D117" s="10"/>
      <c r="E117" s="10"/>
      <c r="F117" s="11"/>
      <c r="G117" s="40"/>
      <c r="H117" s="6" t="s">
        <v>19</v>
      </c>
      <c r="I117" s="7"/>
      <c r="J117" s="7"/>
      <c r="K117" s="7"/>
      <c r="L117" s="7"/>
      <c r="M117" s="8"/>
      <c r="O117" s="6" t="s">
        <v>20</v>
      </c>
      <c r="P117" s="7"/>
      <c r="Q117" s="7"/>
      <c r="R117" s="7"/>
      <c r="S117" s="7"/>
      <c r="T117" s="8"/>
      <c r="V117" s="6" t="s">
        <v>21</v>
      </c>
      <c r="W117" s="7"/>
      <c r="X117" s="7"/>
      <c r="Y117" s="7"/>
      <c r="Z117" s="7"/>
      <c r="AA117" s="8"/>
    </row>
    <row r="118" spans="1:47" ht="30.75" thickBot="1" x14ac:dyDescent="0.3">
      <c r="A118" s="18" t="s">
        <v>8</v>
      </c>
      <c r="B118" s="13" t="s">
        <v>9</v>
      </c>
      <c r="C118" s="13" t="s">
        <v>10</v>
      </c>
      <c r="D118" s="13" t="s">
        <v>15</v>
      </c>
      <c r="E118" s="13" t="s">
        <v>16</v>
      </c>
      <c r="F118" s="5" t="s">
        <v>22</v>
      </c>
      <c r="G118" s="40"/>
      <c r="H118" s="41" t="s">
        <v>8</v>
      </c>
      <c r="I118" s="16" t="s">
        <v>9</v>
      </c>
      <c r="J118" s="16" t="s">
        <v>10</v>
      </c>
      <c r="K118" s="16" t="s">
        <v>15</v>
      </c>
      <c r="L118" s="16" t="s">
        <v>16</v>
      </c>
      <c r="M118" s="17" t="s">
        <v>22</v>
      </c>
      <c r="O118" s="41" t="s">
        <v>8</v>
      </c>
      <c r="P118" s="16" t="s">
        <v>9</v>
      </c>
      <c r="Q118" s="16" t="s">
        <v>10</v>
      </c>
      <c r="R118" s="16" t="s">
        <v>15</v>
      </c>
      <c r="S118" s="16" t="s">
        <v>16</v>
      </c>
      <c r="T118" s="17" t="s">
        <v>22</v>
      </c>
      <c r="V118" s="41" t="s">
        <v>8</v>
      </c>
      <c r="W118" s="16" t="s">
        <v>9</v>
      </c>
      <c r="X118" s="16" t="s">
        <v>10</v>
      </c>
      <c r="Y118" s="16" t="s">
        <v>15</v>
      </c>
      <c r="Z118" s="16" t="s">
        <v>16</v>
      </c>
      <c r="AA118" s="17" t="s">
        <v>22</v>
      </c>
    </row>
    <row r="119" spans="1:47" ht="15" x14ac:dyDescent="0.25">
      <c r="A119" s="20">
        <v>1</v>
      </c>
      <c r="B119" s="21">
        <v>0</v>
      </c>
      <c r="C119" s="21">
        <f>IF(AND(C128&gt;B113,C128&lt;C113),C128,IF(C128&gt;=C113,C113,0))</f>
        <v>50</v>
      </c>
      <c r="D119" s="24">
        <f>MIN(D113,F113)</f>
        <v>20</v>
      </c>
      <c r="E119" s="24">
        <f>IF(AND(C128&gt;B113,C128&lt;C113),G113,IF(C128&gt;=C113,D113,0))</f>
        <v>20</v>
      </c>
      <c r="F119" s="22">
        <f>(C119-B119)*(D119+E119)/2</f>
        <v>1000</v>
      </c>
      <c r="G119" s="42"/>
      <c r="H119" s="20">
        <v>1</v>
      </c>
      <c r="I119" s="21">
        <v>0</v>
      </c>
      <c r="J119" s="21">
        <f>IF(AND(C137&gt;B113,C137&lt;C113),C137,IF(C137&gt;=C113,C113,0))</f>
        <v>50</v>
      </c>
      <c r="K119" s="24">
        <f>MIN(D113,I113)</f>
        <v>20</v>
      </c>
      <c r="L119" s="24">
        <f>IF(AND(C137&gt;B113,C137&lt;C113),J113,IF(C137&gt;=C113,D113,0))</f>
        <v>20</v>
      </c>
      <c r="M119" s="22">
        <f>(J119-I119)*(K119+L119)/2</f>
        <v>1000</v>
      </c>
      <c r="O119" s="43">
        <v>1</v>
      </c>
      <c r="P119" s="44">
        <v>0</v>
      </c>
      <c r="Q119" s="44">
        <f>IF(AND(C139&gt;B113,C139&lt;C113),C139,IF(C139&gt;=C113,C113,0))</f>
        <v>50</v>
      </c>
      <c r="R119" s="24">
        <f>MIN(D113,L113)</f>
        <v>20</v>
      </c>
      <c r="S119" s="24">
        <f>IF(AND(C139&gt;B113,C139&lt;C113),M113,IF(C139&gt;=C113,D113,0))</f>
        <v>20</v>
      </c>
      <c r="T119" s="22">
        <f>(Q119-P119)*(R119+S119)/2</f>
        <v>1000</v>
      </c>
      <c r="V119" s="43">
        <v>1</v>
      </c>
      <c r="W119" s="44">
        <v>0</v>
      </c>
      <c r="X119" s="44">
        <f>IF(AND(C140&gt;B113,C140&lt;C113),C140,IF(C140&gt;=C113,C113,0))</f>
        <v>50</v>
      </c>
      <c r="Y119" s="24">
        <f>MIN(D113,O113)</f>
        <v>20</v>
      </c>
      <c r="Z119" s="24">
        <f>IF(AND(C140&gt;B113,C140&lt;B113),P113,IF(C140&gt;=B113,D113,0))</f>
        <v>20</v>
      </c>
      <c r="AA119" s="22">
        <f>(X119-W119)*(Y119+Z119)/2</f>
        <v>1000</v>
      </c>
    </row>
    <row r="120" spans="1:47" ht="15" x14ac:dyDescent="0.25">
      <c r="A120" s="27">
        <v>2</v>
      </c>
      <c r="B120" s="28">
        <f>IF(C128&gt;B114,C119,0)</f>
        <v>50</v>
      </c>
      <c r="C120" s="28">
        <f>IF(AND(C128&gt;B114,C128&lt;C114),C128,IF(C128&gt;=C114,C114,0))</f>
        <v>75</v>
      </c>
      <c r="D120" s="31">
        <f>IF(B120&lt;&gt;0,E119,0)</f>
        <v>20</v>
      </c>
      <c r="E120" s="31">
        <f>IF(AND(C128&gt;B114,C128&lt;C114),G114,IF(C128&gt;=C114,D114,0))</f>
        <v>25</v>
      </c>
      <c r="F120" s="29">
        <f>(C120-B120)*(D120+E120)/2</f>
        <v>562.5</v>
      </c>
      <c r="G120" s="45"/>
      <c r="H120" s="27">
        <v>2</v>
      </c>
      <c r="I120" s="28">
        <f>IF(C137&gt;B114,J119,0)</f>
        <v>50</v>
      </c>
      <c r="J120" s="28">
        <f>IF(AND(C137&gt;B114,C137&lt;C114),C137,IF(C137&gt;=C114,C114,0))</f>
        <v>75</v>
      </c>
      <c r="K120" s="31">
        <f>IF(I120&lt;&gt;0,L119,0)</f>
        <v>20</v>
      </c>
      <c r="L120" s="31">
        <f>IF(AND(C137&gt;B114,C137&lt;C114),J114,IF(C137&gt;=C114,D114,0))</f>
        <v>25</v>
      </c>
      <c r="M120" s="29">
        <f>(J120-I120)*(K120+L120)/2</f>
        <v>562.5</v>
      </c>
      <c r="O120" s="46">
        <v>2</v>
      </c>
      <c r="P120" s="47">
        <f>IF(C139&gt;B114,Q119,0)</f>
        <v>50</v>
      </c>
      <c r="Q120" s="47">
        <f>IF(AND(C139&gt;B114,C139&lt;C114),C139,IF(C139&gt;=C114,C114,0))</f>
        <v>75</v>
      </c>
      <c r="R120" s="31">
        <f>IF(P120&lt;&gt;0,S119,0)</f>
        <v>20</v>
      </c>
      <c r="S120" s="31">
        <f>IF(AND(C139&gt;B114,C139&lt;C114),M114,IF(C139&gt;=C114,D114,0))</f>
        <v>25</v>
      </c>
      <c r="T120" s="29">
        <f>(Q120-P120)*(R120+S120)/2</f>
        <v>562.5</v>
      </c>
      <c r="V120" s="46">
        <v>2</v>
      </c>
      <c r="W120" s="47">
        <f>IF(C140&gt;B114,X119,0)</f>
        <v>50</v>
      </c>
      <c r="X120" s="47">
        <f>IF(AND(C140&gt;B114,C140&lt;C114),C140,IF(C140&gt;=C114,C114,0))</f>
        <v>75</v>
      </c>
      <c r="Y120" s="31">
        <f>IF(W120&lt;&gt;0,Z119,0)</f>
        <v>20</v>
      </c>
      <c r="Z120" s="31">
        <f>IF(AND(C140&gt;B114,C140&lt;C114),P114,IF(C140&gt;=C114,D114,0))</f>
        <v>25</v>
      </c>
      <c r="AA120" s="29">
        <f>(X120-W120)*(Y120+Z120)/2</f>
        <v>562.5</v>
      </c>
    </row>
    <row r="121" spans="1:47" ht="15" x14ac:dyDescent="0.25">
      <c r="A121" s="27">
        <v>3</v>
      </c>
      <c r="B121" s="28">
        <f>IF(C128&gt;B115,C120,0)</f>
        <v>75</v>
      </c>
      <c r="C121" s="28">
        <f>IF(AND(C128&gt;B115,C128&lt;C115),C128,IF(C128&gt;=C115,C115,0))</f>
        <v>80</v>
      </c>
      <c r="D121" s="31">
        <f>IF(B121&lt;&gt;0,E120,0)</f>
        <v>25</v>
      </c>
      <c r="E121" s="31">
        <f>IF(AND(C128&gt;B115,C128&lt;C115),G115,IF(C128&gt;=C115,D115,0))</f>
        <v>26</v>
      </c>
      <c r="F121" s="29">
        <f>(C121-B121)*(D121+E121)/2</f>
        <v>127.5</v>
      </c>
      <c r="G121" s="45"/>
      <c r="H121" s="27">
        <v>3</v>
      </c>
      <c r="I121" s="28">
        <f>IF(C137&gt;B115,J120,0)</f>
        <v>75</v>
      </c>
      <c r="J121" s="28">
        <f>IF(AND(C137&gt;B115,C137&lt;C115),C137,IF(C137&gt;=C115,C115,0))</f>
        <v>85</v>
      </c>
      <c r="K121" s="31">
        <f>IF(I121&lt;&gt;0,L120,0)</f>
        <v>25</v>
      </c>
      <c r="L121" s="31">
        <f>IF(AND(C137&gt;B115,C137&lt;C115),J115,IF(C137&gt;=C115,D115,0))</f>
        <v>27</v>
      </c>
      <c r="M121" s="29">
        <f>(J121-I121)*(K121+L121)/2</f>
        <v>260</v>
      </c>
      <c r="O121" s="46">
        <v>3</v>
      </c>
      <c r="P121" s="47">
        <f>IF(C139&gt;B115,Q120,0)</f>
        <v>75</v>
      </c>
      <c r="Q121" s="47">
        <f>IF(AND(C139&gt;B115,C139&lt;C115),C139,IF(C139&gt;=C115,C115,0))</f>
        <v>85</v>
      </c>
      <c r="R121" s="31">
        <f>IF(P121&lt;&gt;0,S120,0)</f>
        <v>25</v>
      </c>
      <c r="S121" s="31">
        <f>IF(AND(C139&gt;B115,C139&lt;C115),M115,IF(C139&gt;=C115,D115,0))</f>
        <v>27</v>
      </c>
      <c r="T121" s="29">
        <f>(Q121-P121)*(R121+S121)/2</f>
        <v>260</v>
      </c>
      <c r="V121" s="46">
        <v>3</v>
      </c>
      <c r="W121" s="47">
        <f>IF(C140&gt;B115,X120,0)</f>
        <v>75</v>
      </c>
      <c r="X121" s="47">
        <f>IF(AND(C140&gt;B115,C140&lt;C115),C140,IF(C140&gt;=C115,C115,0))</f>
        <v>100</v>
      </c>
      <c r="Y121" s="31">
        <f>IF(W121&lt;&gt;0,Z120,0)</f>
        <v>25</v>
      </c>
      <c r="Z121" s="31">
        <f>IF(AND(C140&gt;B115,C140&lt;C115),P115,IF(C140&gt;=C115,D115,0))</f>
        <v>30</v>
      </c>
      <c r="AA121" s="29">
        <f>(X121-W121)*(Y121+Z121)/2</f>
        <v>687.5</v>
      </c>
    </row>
    <row r="122" spans="1:47" ht="15" x14ac:dyDescent="0.25">
      <c r="A122" s="27">
        <v>4</v>
      </c>
      <c r="B122" s="28">
        <f>IF(C128&gt;C115,C121,0)</f>
        <v>0</v>
      </c>
      <c r="C122" s="28">
        <f>IF(C128&gt;C115,C128,0)</f>
        <v>0</v>
      </c>
      <c r="D122" s="31">
        <f>IF(B122&lt;&gt;0,E121,0)</f>
        <v>0</v>
      </c>
      <c r="E122" s="31">
        <f>IF(C128&gt;C115,D115,0)</f>
        <v>0</v>
      </c>
      <c r="F122" s="29">
        <f>(C122-B122)*(D122+E122)/2</f>
        <v>0</v>
      </c>
      <c r="G122" s="45"/>
      <c r="H122" s="27">
        <v>4</v>
      </c>
      <c r="I122" s="28">
        <f>IF(C137&gt;C115,J121,0)</f>
        <v>0</v>
      </c>
      <c r="J122" s="28">
        <f>IF(C137&gt;C115,C137,0)</f>
        <v>0</v>
      </c>
      <c r="K122" s="31">
        <f>IF(I122&lt;&gt;0,L121,0)</f>
        <v>0</v>
      </c>
      <c r="L122" s="31">
        <f>IF(J122&gt;0,IF(C137&gt;=C115,J115,IF(AND(C137&gt;B115,C137&lt;C115),J115,0)),0)</f>
        <v>0</v>
      </c>
      <c r="M122" s="29">
        <f>(J122-I122)*(K122+L122)/2</f>
        <v>0</v>
      </c>
      <c r="O122" s="46">
        <v>4</v>
      </c>
      <c r="P122" s="47">
        <f>IF(C139&gt;C115,Q121,0)</f>
        <v>0</v>
      </c>
      <c r="Q122" s="47">
        <f>IF(C139&gt;C115,C139,0)</f>
        <v>0</v>
      </c>
      <c r="R122" s="31">
        <f>IF(P122&lt;&gt;0,S121,0)</f>
        <v>0</v>
      </c>
      <c r="S122" s="31">
        <f>IF(Q122&gt;0,IF(C139&gt;=C115,J115,IF(AND(C139&gt;B115,C139&lt;C115),J115,0)),0)</f>
        <v>0</v>
      </c>
      <c r="T122" s="29">
        <f>(Q122-P122)*(R122+S122)/2</f>
        <v>0</v>
      </c>
      <c r="V122" s="46">
        <v>4</v>
      </c>
      <c r="W122" s="47">
        <f>IF(C140&gt;C115,X121,0)</f>
        <v>0</v>
      </c>
      <c r="X122" s="47">
        <f>IF(C140&gt;C115,C140,IF(AND(C140&gt;C115,C140&lt;C115),C140,0))</f>
        <v>0</v>
      </c>
      <c r="Y122" s="31">
        <f>IF(W122&lt;&gt;0,Z121,0)</f>
        <v>0</v>
      </c>
      <c r="Z122" s="31">
        <f>IF(X122&gt;0,IF(C140&gt;=C115,P115,IF(AND(C140&gt;B115,C140&lt;C115),P115,0)),0)</f>
        <v>0</v>
      </c>
      <c r="AA122" s="29">
        <f>(X122-W122)*(Y122+Z122)/2</f>
        <v>0</v>
      </c>
    </row>
    <row r="123" spans="1:47" ht="15" thickBot="1" x14ac:dyDescent="0.25">
      <c r="A123" s="38"/>
      <c r="B123" s="34"/>
      <c r="C123" s="34"/>
      <c r="D123" s="48"/>
      <c r="E123" s="48"/>
      <c r="F123" s="49">
        <f>SUM(F119:F122)</f>
        <v>1690</v>
      </c>
      <c r="G123" s="50"/>
      <c r="H123" s="38"/>
      <c r="I123" s="34"/>
      <c r="J123" s="34"/>
      <c r="K123" s="48"/>
      <c r="L123" s="48"/>
      <c r="M123" s="49">
        <f>SUM(M119:M122)</f>
        <v>1822.5</v>
      </c>
      <c r="O123" s="51"/>
      <c r="P123" s="52"/>
      <c r="Q123" s="52"/>
      <c r="R123" s="52"/>
      <c r="S123" s="52"/>
      <c r="T123" s="49">
        <f>SUM(T119:T122)</f>
        <v>1822.5</v>
      </c>
      <c r="V123" s="51"/>
      <c r="W123" s="52"/>
      <c r="X123" s="52"/>
      <c r="Y123" s="52"/>
      <c r="Z123" s="52"/>
      <c r="AA123" s="49">
        <f>SUM(AA119:AA122)</f>
        <v>2250</v>
      </c>
    </row>
    <row r="124" spans="1:47" ht="15" thickBot="1" x14ac:dyDescent="0.25">
      <c r="A124" s="28"/>
      <c r="B124" s="28"/>
      <c r="C124" s="28"/>
      <c r="D124" s="204"/>
      <c r="E124" s="204"/>
      <c r="F124" s="31"/>
      <c r="G124" s="123"/>
      <c r="H124" s="28"/>
      <c r="I124" s="28"/>
      <c r="J124" s="28"/>
      <c r="K124" s="204"/>
      <c r="L124" s="204"/>
      <c r="M124" s="31"/>
      <c r="O124" s="205"/>
      <c r="P124" s="205"/>
      <c r="Q124" s="205"/>
      <c r="R124" s="205"/>
      <c r="S124" s="205"/>
      <c r="T124" s="31"/>
      <c r="V124" s="205"/>
      <c r="W124" s="205"/>
      <c r="X124" s="205"/>
      <c r="Y124" s="205"/>
      <c r="Z124" s="205"/>
      <c r="AA124" s="31"/>
    </row>
    <row r="125" spans="1:47" ht="15" thickBot="1" x14ac:dyDescent="0.25">
      <c r="M125" s="221"/>
      <c r="N125" s="222"/>
      <c r="O125" s="222"/>
      <c r="P125" s="222"/>
      <c r="Q125" s="222"/>
      <c r="R125" s="222"/>
      <c r="S125" s="222"/>
      <c r="T125" s="222"/>
      <c r="U125" s="222"/>
      <c r="V125" s="222"/>
      <c r="W125" s="222"/>
      <c r="X125" s="222"/>
      <c r="Y125" s="222"/>
      <c r="Z125" s="222"/>
      <c r="AA125" s="217"/>
      <c r="AB125" s="246"/>
      <c r="AC125" s="247"/>
      <c r="AD125" s="247"/>
      <c r="AE125" s="247"/>
      <c r="AF125" s="247"/>
      <c r="AG125" s="247"/>
      <c r="AH125" s="247"/>
      <c r="AI125" s="247"/>
      <c r="AJ125" s="247"/>
      <c r="AK125" s="247"/>
      <c r="AL125" s="247"/>
      <c r="AM125" s="247"/>
      <c r="AN125" s="247"/>
      <c r="AO125" s="247"/>
      <c r="AP125" s="248"/>
    </row>
    <row r="126" spans="1:47" ht="15.75" thickBot="1" x14ac:dyDescent="0.3">
      <c r="A126" s="53" t="s">
        <v>23</v>
      </c>
      <c r="B126" s="54"/>
      <c r="C126" s="54"/>
      <c r="D126" s="54"/>
      <c r="E126" s="55"/>
      <c r="F126" s="57" t="s">
        <v>25</v>
      </c>
      <c r="G126" s="58"/>
      <c r="H126" s="58"/>
      <c r="I126" s="58"/>
      <c r="J126" s="57"/>
      <c r="K126" s="59"/>
      <c r="L126" s="174"/>
      <c r="M126" s="229"/>
      <c r="N126" s="57" t="s">
        <v>26</v>
      </c>
      <c r="O126" s="58"/>
      <c r="P126" s="58"/>
      <c r="Q126" s="58"/>
      <c r="R126" s="58"/>
      <c r="S126" s="59"/>
      <c r="T126" s="223"/>
      <c r="U126" s="57" t="s">
        <v>92</v>
      </c>
      <c r="V126" s="58"/>
      <c r="W126" s="58"/>
      <c r="X126" s="58"/>
      <c r="Y126" s="58"/>
      <c r="Z126" s="60"/>
      <c r="AA126" s="218"/>
      <c r="AB126" s="249"/>
      <c r="AC126" s="57" t="s">
        <v>27</v>
      </c>
      <c r="AD126" s="58"/>
      <c r="AE126" s="58"/>
      <c r="AF126" s="58"/>
      <c r="AG126" s="58"/>
      <c r="AH126" s="59"/>
      <c r="AI126" s="251"/>
      <c r="AJ126" s="57" t="s">
        <v>95</v>
      </c>
      <c r="AK126" s="58"/>
      <c r="AL126" s="58"/>
      <c r="AM126" s="58"/>
      <c r="AN126" s="58"/>
      <c r="AO126" s="60"/>
      <c r="AP126" s="259"/>
      <c r="AQ126" s="96"/>
      <c r="AR126" s="96"/>
      <c r="AS126" s="96"/>
      <c r="AT126" s="96"/>
      <c r="AU126" s="78"/>
    </row>
    <row r="127" spans="1:47" ht="15.75" thickBot="1" x14ac:dyDescent="0.3">
      <c r="A127" s="61" t="s">
        <v>28</v>
      </c>
      <c r="B127" s="62"/>
      <c r="C127" s="63"/>
      <c r="D127" s="63"/>
      <c r="E127" s="206"/>
      <c r="F127" s="57" t="s">
        <v>29</v>
      </c>
      <c r="G127" s="58"/>
      <c r="H127" s="58"/>
      <c r="I127" s="57"/>
      <c r="J127" s="58" t="s">
        <v>30</v>
      </c>
      <c r="K127" s="66"/>
      <c r="L127" s="67"/>
      <c r="M127" s="230"/>
      <c r="N127" s="68" t="s">
        <v>29</v>
      </c>
      <c r="O127" s="69"/>
      <c r="P127" s="69"/>
      <c r="Q127" s="68"/>
      <c r="R127" s="69" t="s">
        <v>30</v>
      </c>
      <c r="S127" s="70"/>
      <c r="T127" s="284"/>
      <c r="U127" s="57" t="s">
        <v>29</v>
      </c>
      <c r="V127" s="58"/>
      <c r="W127" s="58"/>
      <c r="X127" s="57"/>
      <c r="Y127" s="66" t="s">
        <v>30</v>
      </c>
      <c r="Z127" s="66"/>
      <c r="AA127" s="218"/>
      <c r="AB127" s="249"/>
      <c r="AC127" s="68" t="s">
        <v>29</v>
      </c>
      <c r="AD127" s="69"/>
      <c r="AE127" s="69"/>
      <c r="AF127" s="68"/>
      <c r="AG127" s="69" t="s">
        <v>30</v>
      </c>
      <c r="AH127" s="70"/>
      <c r="AI127" s="251"/>
      <c r="AJ127" s="57" t="s">
        <v>29</v>
      </c>
      <c r="AK127" s="58"/>
      <c r="AL127" s="58"/>
      <c r="AM127" s="57"/>
      <c r="AN127" s="66" t="s">
        <v>30</v>
      </c>
      <c r="AO127" s="66"/>
      <c r="AP127" s="260"/>
      <c r="AQ127" s="67"/>
      <c r="AR127" s="67"/>
      <c r="AS127" s="67"/>
      <c r="AT127" s="67"/>
      <c r="AU127" s="78"/>
    </row>
    <row r="128" spans="1:47" ht="15" x14ac:dyDescent="0.25">
      <c r="A128" s="71" t="s">
        <v>12</v>
      </c>
      <c r="B128" s="72"/>
      <c r="C128" s="73">
        <v>80</v>
      </c>
      <c r="D128" s="74"/>
      <c r="E128" s="157"/>
      <c r="F128" s="182" t="s">
        <v>32</v>
      </c>
      <c r="G128" s="80"/>
      <c r="H128" s="80"/>
      <c r="I128" s="80"/>
      <c r="J128" s="81">
        <f>C147*C148</f>
        <v>500</v>
      </c>
      <c r="K128" s="82"/>
      <c r="L128" s="96"/>
      <c r="M128" s="227"/>
      <c r="N128" s="182" t="s">
        <v>33</v>
      </c>
      <c r="O128" s="83"/>
      <c r="P128" s="83"/>
      <c r="Q128" s="83"/>
      <c r="R128" s="81">
        <f>(C155-C147)*C157</f>
        <v>-175</v>
      </c>
      <c r="S128" s="82"/>
      <c r="T128" s="277"/>
      <c r="U128" s="187"/>
      <c r="V128" s="80"/>
      <c r="W128" s="80"/>
      <c r="X128" s="80"/>
      <c r="Y128" s="80"/>
      <c r="Z128" s="84"/>
      <c r="AA128" s="219"/>
      <c r="AB128" s="249"/>
      <c r="AC128" s="187" t="s">
        <v>33</v>
      </c>
      <c r="AD128" s="278"/>
      <c r="AE128" s="278"/>
      <c r="AF128" s="278"/>
      <c r="AG128" s="81">
        <f>(C156-C147)*C157</f>
        <v>-175</v>
      </c>
      <c r="AH128" s="82"/>
      <c r="AI128" s="251"/>
      <c r="AJ128" s="187"/>
      <c r="AK128" s="80"/>
      <c r="AL128" s="80"/>
      <c r="AM128" s="80"/>
      <c r="AN128" s="80"/>
      <c r="AO128" s="84"/>
      <c r="AP128" s="261"/>
      <c r="AQ128" s="176"/>
      <c r="AR128" s="176"/>
      <c r="AS128" s="176"/>
      <c r="AT128" s="144"/>
      <c r="AU128" s="78"/>
    </row>
    <row r="129" spans="1:54" ht="15" x14ac:dyDescent="0.25">
      <c r="A129" s="85" t="s">
        <v>34</v>
      </c>
      <c r="B129" s="86"/>
      <c r="C129" s="87">
        <v>45</v>
      </c>
      <c r="D129" s="88"/>
      <c r="E129" s="207"/>
      <c r="F129" s="183"/>
      <c r="G129" s="93"/>
      <c r="H129" s="93"/>
      <c r="I129" s="93"/>
      <c r="J129" s="94"/>
      <c r="K129" s="95"/>
      <c r="L129" s="96"/>
      <c r="M129" s="227"/>
      <c r="N129" s="183"/>
      <c r="O129" s="93"/>
      <c r="P129" s="93"/>
      <c r="Q129" s="93"/>
      <c r="R129" s="94"/>
      <c r="S129" s="95"/>
      <c r="T129" s="214"/>
      <c r="U129" s="185" t="s">
        <v>35</v>
      </c>
      <c r="V129" s="93"/>
      <c r="W129" s="93"/>
      <c r="X129" s="93"/>
      <c r="Y129" s="147">
        <f>R142</f>
        <v>3600</v>
      </c>
      <c r="Z129" s="97"/>
      <c r="AA129" s="219"/>
      <c r="AB129" s="249"/>
      <c r="AC129" s="92"/>
      <c r="AD129" s="93"/>
      <c r="AE129" s="93"/>
      <c r="AF129" s="93"/>
      <c r="AG129" s="94"/>
      <c r="AH129" s="95"/>
      <c r="AI129" s="251"/>
      <c r="AJ129" s="179" t="s">
        <v>35</v>
      </c>
      <c r="AK129" s="100"/>
      <c r="AL129" s="100"/>
      <c r="AM129" s="100"/>
      <c r="AN129" s="147">
        <f>AG142</f>
        <v>3600</v>
      </c>
      <c r="AO129" s="97"/>
      <c r="AP129" s="262"/>
      <c r="AQ129" s="67"/>
      <c r="AR129" s="67"/>
      <c r="AS129" s="67"/>
      <c r="AT129" s="144"/>
      <c r="AU129" s="78"/>
    </row>
    <row r="130" spans="1:54" ht="15" x14ac:dyDescent="0.25">
      <c r="A130" s="85" t="s">
        <v>36</v>
      </c>
      <c r="B130" s="86"/>
      <c r="C130" s="87">
        <v>0</v>
      </c>
      <c r="D130" s="88"/>
      <c r="E130" s="207"/>
      <c r="F130" s="184" t="s">
        <v>37</v>
      </c>
      <c r="G130" s="100"/>
      <c r="H130" s="100"/>
      <c r="I130" s="100"/>
      <c r="J130" s="94">
        <f>IF(C149 = 1,MAX(MAX(R113:R115)-MAX(Q113:Q115),0)* MAX((C129- (MAX(S113:S115)+MAX(T113:T115))/2),0),0)</f>
        <v>340</v>
      </c>
      <c r="K130" s="95"/>
      <c r="L130" s="96"/>
      <c r="M130" s="227"/>
      <c r="N130" s="184" t="s">
        <v>38</v>
      </c>
      <c r="O130" s="102"/>
      <c r="P130" s="102"/>
      <c r="Q130" s="102"/>
      <c r="R130" s="94">
        <f>IF(C158 = 1,MAX(MAX(V113:V115)-MAX(U113:U115),0)* MAX((C138- (MAX(W113:W115)+MAX(X113:X115))/2),0),0)</f>
        <v>0</v>
      </c>
      <c r="S130" s="95"/>
      <c r="T130" s="214"/>
      <c r="U130" s="179"/>
      <c r="V130" s="100"/>
      <c r="W130" s="100"/>
      <c r="X130" s="100"/>
      <c r="Y130" s="173"/>
      <c r="Z130" s="97"/>
      <c r="AA130" s="219"/>
      <c r="AB130" s="249"/>
      <c r="AC130" s="92" t="s">
        <v>38</v>
      </c>
      <c r="AD130" s="93"/>
      <c r="AE130" s="93"/>
      <c r="AF130" s="93"/>
      <c r="AG130" s="94">
        <f>IF(C158 = 1,MAX(MAX(Z113:Z115)-MAX(Y113:Y115),0)* MAX((C138- (MAX(AA113:AA115)+MAX(AB113:AB115))/2),0),0)</f>
        <v>0</v>
      </c>
      <c r="AH130" s="95"/>
      <c r="AI130" s="251"/>
      <c r="AJ130" s="179"/>
      <c r="AK130" s="100"/>
      <c r="AL130" s="100"/>
      <c r="AM130" s="100"/>
      <c r="AN130" s="173"/>
      <c r="AO130" s="97"/>
      <c r="AP130" s="261"/>
      <c r="AQ130" s="176"/>
      <c r="AR130" s="176"/>
      <c r="AS130" s="176"/>
      <c r="AT130" s="144"/>
      <c r="AU130" s="78"/>
    </row>
    <row r="131" spans="1:54" ht="15" x14ac:dyDescent="0.25">
      <c r="A131" s="85" t="s">
        <v>39</v>
      </c>
      <c r="B131" s="86"/>
      <c r="C131" s="87">
        <v>0</v>
      </c>
      <c r="D131" s="88"/>
      <c r="E131" s="207"/>
      <c r="F131" s="185"/>
      <c r="G131" s="93"/>
      <c r="H131" s="93"/>
      <c r="I131" s="93"/>
      <c r="J131" s="94"/>
      <c r="K131" s="95"/>
      <c r="L131" s="96"/>
      <c r="M131" s="227"/>
      <c r="N131" s="185" t="s">
        <v>98</v>
      </c>
      <c r="O131" s="181"/>
      <c r="P131" s="181"/>
      <c r="Q131" s="181"/>
      <c r="R131" s="94">
        <f>IF(C163=1,MAX(MIN(R128*-1,(J130+R130)-(J128+R128)-MAX((J130-J128),0)),0),0)</f>
        <v>15</v>
      </c>
      <c r="S131" s="95"/>
      <c r="T131" s="214"/>
      <c r="U131" s="185" t="s">
        <v>41</v>
      </c>
      <c r="V131" s="93"/>
      <c r="W131" s="93"/>
      <c r="X131" s="93"/>
      <c r="Y131" s="147">
        <f>R146</f>
        <v>235</v>
      </c>
      <c r="Z131" s="97"/>
      <c r="AA131" s="219"/>
      <c r="AB131" s="249"/>
      <c r="AC131" s="179" t="s">
        <v>98</v>
      </c>
      <c r="AD131" s="93"/>
      <c r="AE131" s="93"/>
      <c r="AF131" s="93"/>
      <c r="AG131" s="94">
        <f>R131</f>
        <v>15</v>
      </c>
      <c r="AH131" s="95"/>
      <c r="AI131" s="251"/>
      <c r="AJ131" s="179" t="s">
        <v>41</v>
      </c>
      <c r="AK131" s="100"/>
      <c r="AL131" s="100"/>
      <c r="AM131" s="100"/>
      <c r="AN131" s="147">
        <f>AG146</f>
        <v>235</v>
      </c>
      <c r="AO131" s="97"/>
      <c r="AP131" s="260"/>
      <c r="AQ131" s="67"/>
      <c r="AR131" s="67"/>
      <c r="AS131" s="67"/>
      <c r="AT131" s="144"/>
      <c r="AU131" s="78"/>
    </row>
    <row r="132" spans="1:54" ht="15" x14ac:dyDescent="0.25">
      <c r="A132" s="105" t="s">
        <v>42</v>
      </c>
      <c r="B132" s="106"/>
      <c r="C132" s="107">
        <v>50</v>
      </c>
      <c r="D132" s="108"/>
      <c r="E132" s="157"/>
      <c r="F132" s="183"/>
      <c r="G132" s="100"/>
      <c r="H132" s="100"/>
      <c r="I132" s="100"/>
      <c r="J132" s="94"/>
      <c r="K132" s="95"/>
      <c r="L132" s="96"/>
      <c r="M132" s="227"/>
      <c r="N132" s="184" t="s">
        <v>91</v>
      </c>
      <c r="O132" s="180"/>
      <c r="P132" s="180"/>
      <c r="Q132" s="180"/>
      <c r="R132" s="94">
        <f>IF(AND(C155&lt;C147,C163=0),MAX(MIN((J128+R128-J130)*-1,(R146-(R149-J144))),0),0)</f>
        <v>0</v>
      </c>
      <c r="S132" s="95"/>
      <c r="T132" s="214"/>
      <c r="U132" s="179"/>
      <c r="V132" s="100"/>
      <c r="W132" s="100"/>
      <c r="X132" s="100"/>
      <c r="Y132" s="173"/>
      <c r="Z132" s="97"/>
      <c r="AA132" s="219"/>
      <c r="AB132" s="249"/>
      <c r="AC132" s="92" t="s">
        <v>94</v>
      </c>
      <c r="AD132" s="93"/>
      <c r="AE132" s="93"/>
      <c r="AF132" s="93"/>
      <c r="AG132" s="94">
        <f>R132</f>
        <v>0</v>
      </c>
      <c r="AH132" s="95"/>
      <c r="AI132" s="251"/>
      <c r="AJ132" s="179"/>
      <c r="AK132" s="100"/>
      <c r="AL132" s="100"/>
      <c r="AM132" s="100"/>
      <c r="AN132" s="173"/>
      <c r="AO132" s="97"/>
      <c r="AP132" s="261"/>
      <c r="AQ132" s="176"/>
      <c r="AR132" s="176"/>
      <c r="AS132" s="176"/>
      <c r="AT132" s="144"/>
      <c r="AU132" s="78"/>
    </row>
    <row r="133" spans="1:54" ht="15.75" thickBot="1" x14ac:dyDescent="0.3">
      <c r="A133" s="109" t="s">
        <v>44</v>
      </c>
      <c r="B133" s="110"/>
      <c r="C133" s="111">
        <v>100</v>
      </c>
      <c r="D133" s="112"/>
      <c r="E133" s="157"/>
      <c r="F133" s="186"/>
      <c r="G133" s="93"/>
      <c r="H133" s="93"/>
      <c r="I133" s="93"/>
      <c r="J133" s="94"/>
      <c r="K133" s="95"/>
      <c r="L133" s="96"/>
      <c r="M133" s="238"/>
      <c r="N133" s="185" t="s">
        <v>107</v>
      </c>
      <c r="O133" s="181"/>
      <c r="P133" s="181"/>
      <c r="Q133" s="181"/>
      <c r="R133" s="94">
        <f>MAX(J130-R131+R130-J128-R128-R132,0)</f>
        <v>0</v>
      </c>
      <c r="S133" s="95"/>
      <c r="T133" s="214"/>
      <c r="U133" s="185" t="s">
        <v>46</v>
      </c>
      <c r="V133" s="93"/>
      <c r="W133" s="93"/>
      <c r="X133" s="93"/>
      <c r="Y133" s="147">
        <f>R136</f>
        <v>325</v>
      </c>
      <c r="Z133" s="113"/>
      <c r="AA133" s="220"/>
      <c r="AB133" s="249"/>
      <c r="AC133" s="92" t="s">
        <v>45</v>
      </c>
      <c r="AD133" s="93"/>
      <c r="AE133" s="93"/>
      <c r="AF133" s="93"/>
      <c r="AG133" s="94">
        <f>MAX(J130-AG131+AG130-(J128+AG128)-AG132,0)</f>
        <v>0</v>
      </c>
      <c r="AH133" s="95"/>
      <c r="AI133" s="251"/>
      <c r="AJ133" s="179" t="s">
        <v>46</v>
      </c>
      <c r="AK133" s="100"/>
      <c r="AL133" s="100"/>
      <c r="AM133" s="100"/>
      <c r="AN133" s="147">
        <f>AG136</f>
        <v>325</v>
      </c>
      <c r="AO133" s="113"/>
      <c r="AP133" s="262"/>
      <c r="AQ133" s="67"/>
      <c r="AR133" s="67"/>
      <c r="AS133" s="67"/>
      <c r="AT133" s="177"/>
      <c r="AU133" s="78"/>
    </row>
    <row r="134" spans="1:54" ht="15" x14ac:dyDescent="0.25">
      <c r="C134" s="103"/>
      <c r="D134" s="103"/>
      <c r="E134" s="208"/>
      <c r="F134" s="183"/>
      <c r="G134" s="100"/>
      <c r="H134" s="100"/>
      <c r="I134" s="100"/>
      <c r="J134" s="94"/>
      <c r="K134" s="95"/>
      <c r="L134" s="96"/>
      <c r="M134" s="231"/>
      <c r="N134" s="183"/>
      <c r="O134" s="100"/>
      <c r="P134" s="100"/>
      <c r="Q134" s="100"/>
      <c r="R134" s="94"/>
      <c r="S134" s="95"/>
      <c r="T134" s="214"/>
      <c r="U134" s="179"/>
      <c r="V134" s="100"/>
      <c r="W134" s="100"/>
      <c r="X134" s="100"/>
      <c r="Y134" s="100"/>
      <c r="Z134" s="97"/>
      <c r="AA134" s="219"/>
      <c r="AB134" s="249"/>
      <c r="AC134" s="92"/>
      <c r="AD134" s="93"/>
      <c r="AE134" s="93"/>
      <c r="AF134" s="93"/>
      <c r="AG134" s="94"/>
      <c r="AH134" s="95"/>
      <c r="AI134" s="251"/>
      <c r="AJ134" s="179"/>
      <c r="AK134" s="100"/>
      <c r="AL134" s="100"/>
      <c r="AM134" s="100"/>
      <c r="AN134" s="100"/>
      <c r="AO134" s="97"/>
      <c r="AP134" s="261"/>
      <c r="AQ134" s="176"/>
      <c r="AR134" s="176"/>
      <c r="AS134" s="176"/>
      <c r="AT134" s="144"/>
      <c r="AU134" s="78"/>
    </row>
    <row r="135" spans="1:54" ht="15.75" thickBot="1" x14ac:dyDescent="0.3">
      <c r="A135" s="53" t="s">
        <v>23</v>
      </c>
      <c r="B135" s="54"/>
      <c r="C135" s="54"/>
      <c r="D135" s="54"/>
      <c r="E135" s="55"/>
      <c r="F135" s="186"/>
      <c r="G135" s="93"/>
      <c r="H135" s="93"/>
      <c r="I135" s="93"/>
      <c r="J135" s="94"/>
      <c r="K135" s="95"/>
      <c r="L135" s="96"/>
      <c r="M135" s="231"/>
      <c r="N135" s="186"/>
      <c r="O135" s="93"/>
      <c r="P135" s="93"/>
      <c r="Q135" s="93"/>
      <c r="R135" s="94"/>
      <c r="S135" s="95"/>
      <c r="T135" s="214"/>
      <c r="U135" s="104"/>
      <c r="V135" s="93"/>
      <c r="W135" s="93"/>
      <c r="X135" s="93"/>
      <c r="Y135" s="93"/>
      <c r="Z135" s="97"/>
      <c r="AA135" s="219"/>
      <c r="AB135" s="249"/>
      <c r="AC135" s="92"/>
      <c r="AD135" s="93"/>
      <c r="AE135" s="93"/>
      <c r="AF135" s="93"/>
      <c r="AG135" s="94"/>
      <c r="AH135" s="95"/>
      <c r="AI135" s="251"/>
      <c r="AJ135" s="104"/>
      <c r="AK135" s="93"/>
      <c r="AL135" s="93"/>
      <c r="AM135" s="93"/>
      <c r="AN135" s="93"/>
      <c r="AO135" s="97"/>
      <c r="AP135" s="262"/>
      <c r="AQ135" s="67"/>
      <c r="AR135" s="67"/>
      <c r="AS135" s="67"/>
      <c r="AT135" s="144"/>
      <c r="AU135" s="78"/>
    </row>
    <row r="136" spans="1:54" ht="15.75" thickBot="1" x14ac:dyDescent="0.3">
      <c r="A136" s="61" t="s">
        <v>48</v>
      </c>
      <c r="B136" s="116"/>
      <c r="C136" s="117"/>
      <c r="D136" s="117"/>
      <c r="E136" s="209"/>
      <c r="F136" s="184" t="s">
        <v>50</v>
      </c>
      <c r="G136" s="100"/>
      <c r="H136" s="100"/>
      <c r="I136" s="100"/>
      <c r="J136" s="120">
        <f>MAX(J128-J130)</f>
        <v>160</v>
      </c>
      <c r="K136" s="121"/>
      <c r="L136" s="96"/>
      <c r="M136" s="231"/>
      <c r="N136" s="185" t="s">
        <v>51</v>
      </c>
      <c r="O136" s="181"/>
      <c r="P136" s="181"/>
      <c r="Q136" s="181"/>
      <c r="R136" s="120">
        <f>J128+R128+R133</f>
        <v>325</v>
      </c>
      <c r="S136" s="121"/>
      <c r="T136" s="214"/>
      <c r="U136" s="184" t="s">
        <v>52</v>
      </c>
      <c r="V136" s="100"/>
      <c r="W136" s="100"/>
      <c r="X136" s="100"/>
      <c r="Y136" s="172">
        <f>Y129+Y131+Y133</f>
        <v>4160</v>
      </c>
      <c r="Z136" s="122"/>
      <c r="AA136" s="219"/>
      <c r="AB136" s="249"/>
      <c r="AC136" s="92" t="s">
        <v>51</v>
      </c>
      <c r="AD136" s="93"/>
      <c r="AE136" s="93"/>
      <c r="AF136" s="93"/>
      <c r="AG136" s="120">
        <f>J128+AG128+AG133</f>
        <v>325</v>
      </c>
      <c r="AH136" s="121"/>
      <c r="AI136" s="251"/>
      <c r="AJ136" s="179" t="s">
        <v>52</v>
      </c>
      <c r="AK136" s="100"/>
      <c r="AL136" s="100"/>
      <c r="AM136" s="100"/>
      <c r="AN136" s="172">
        <f>AN129+AN131+AN133</f>
        <v>4160</v>
      </c>
      <c r="AO136" s="122"/>
      <c r="AP136" s="262"/>
      <c r="AQ136" s="67"/>
      <c r="AR136" s="67"/>
      <c r="AS136" s="67"/>
      <c r="AT136" s="144"/>
      <c r="AU136" s="78"/>
    </row>
    <row r="137" spans="1:54" ht="16.5" thickTop="1" thickBot="1" x14ac:dyDescent="0.3">
      <c r="A137" s="89" t="s">
        <v>53</v>
      </c>
      <c r="B137" s="123"/>
      <c r="C137" s="124">
        <v>85</v>
      </c>
      <c r="D137" s="45"/>
      <c r="E137" s="157"/>
      <c r="F137" s="68" t="str">
        <f>" "</f>
        <v xml:space="preserve"> </v>
      </c>
      <c r="G137" s="69"/>
      <c r="H137" s="69"/>
      <c r="I137" s="69"/>
      <c r="J137" s="128"/>
      <c r="K137" s="129"/>
      <c r="L137" s="96"/>
      <c r="M137" s="227"/>
      <c r="N137" s="269" t="s">
        <v>54</v>
      </c>
      <c r="O137" s="270"/>
      <c r="P137" s="270"/>
      <c r="Q137" s="270"/>
      <c r="R137" s="128">
        <f>MAX(J128+R128+R132+R131-J130-R130,0)</f>
        <v>0</v>
      </c>
      <c r="S137" s="129"/>
      <c r="T137" s="214"/>
      <c r="U137" s="68" t="str">
        <f>" "</f>
        <v xml:space="preserve"> </v>
      </c>
      <c r="V137" s="69"/>
      <c r="W137" s="69"/>
      <c r="X137" s="69"/>
      <c r="Y137" s="69"/>
      <c r="Z137" s="130"/>
      <c r="AA137" s="219"/>
      <c r="AB137" s="249"/>
      <c r="AC137" s="92" t="s">
        <v>54</v>
      </c>
      <c r="AD137" s="93"/>
      <c r="AE137" s="93"/>
      <c r="AF137" s="93"/>
      <c r="AG137" s="128">
        <f>MAX(J128+AG128-J130-AG130,0)</f>
        <v>0</v>
      </c>
      <c r="AH137" s="129"/>
      <c r="AI137" s="251"/>
      <c r="AJ137" s="68" t="str">
        <f>" "</f>
        <v xml:space="preserve"> </v>
      </c>
      <c r="AK137" s="69"/>
      <c r="AL137" s="69"/>
      <c r="AM137" s="69"/>
      <c r="AN137" s="69"/>
      <c r="AO137" s="130"/>
      <c r="AP137" s="263"/>
      <c r="AQ137" s="176"/>
      <c r="AR137" s="176"/>
      <c r="AS137" s="176"/>
      <c r="AT137" s="144"/>
      <c r="AU137" s="78"/>
    </row>
    <row r="138" spans="1:54" ht="15.75" thickBot="1" x14ac:dyDescent="0.3">
      <c r="A138" s="89" t="s">
        <v>34</v>
      </c>
      <c r="B138" s="123"/>
      <c r="C138" s="31">
        <v>47</v>
      </c>
      <c r="D138" s="132"/>
      <c r="E138" s="207"/>
      <c r="F138" s="146"/>
      <c r="G138" s="146"/>
      <c r="H138" s="146"/>
      <c r="I138" s="146"/>
      <c r="J138" s="31"/>
      <c r="K138" s="171"/>
      <c r="L138" s="96"/>
      <c r="M138" s="227"/>
      <c r="N138" s="211"/>
      <c r="O138" s="211"/>
      <c r="P138" s="211"/>
      <c r="Q138" s="211"/>
      <c r="R138" s="228"/>
      <c r="S138" s="211"/>
      <c r="T138" s="211"/>
      <c r="U138" s="211"/>
      <c r="V138" s="211"/>
      <c r="W138" s="211"/>
      <c r="X138" s="211"/>
      <c r="Y138" s="211"/>
      <c r="Z138" s="211"/>
      <c r="AA138" s="212"/>
      <c r="AB138" s="249"/>
      <c r="AC138" s="251"/>
      <c r="AD138" s="251"/>
      <c r="AE138" s="251"/>
      <c r="AF138" s="251"/>
      <c r="AG138" s="251"/>
      <c r="AH138" s="251"/>
      <c r="AI138" s="251"/>
      <c r="AJ138" s="251"/>
      <c r="AK138" s="251"/>
      <c r="AL138" s="251"/>
      <c r="AM138" s="251"/>
      <c r="AN138" s="251"/>
      <c r="AO138" s="251"/>
      <c r="AP138" s="252"/>
      <c r="AW138" s="170"/>
      <c r="AX138" s="170"/>
      <c r="AY138" s="170"/>
      <c r="AZ138" s="170"/>
      <c r="BA138" s="31"/>
      <c r="BB138" s="78"/>
    </row>
    <row r="139" spans="1:54" ht="15.75" thickBot="1" x14ac:dyDescent="0.3">
      <c r="A139" s="89" t="s">
        <v>55</v>
      </c>
      <c r="B139" s="123"/>
      <c r="C139" s="124">
        <f>IF(C158=1,MIN(C140,C160)-C155,C140)</f>
        <v>85</v>
      </c>
      <c r="D139" s="45"/>
      <c r="E139" s="157"/>
      <c r="L139" s="55"/>
      <c r="M139" s="232"/>
      <c r="N139" s="243" t="s">
        <v>56</v>
      </c>
      <c r="O139" s="244"/>
      <c r="P139" s="244"/>
      <c r="Q139" s="244"/>
      <c r="R139" s="244"/>
      <c r="S139" s="245"/>
      <c r="T139" s="211"/>
      <c r="U139" s="226"/>
      <c r="V139" s="226"/>
      <c r="W139" s="211"/>
      <c r="X139" s="211"/>
      <c r="Y139" s="211"/>
      <c r="Z139" s="211"/>
      <c r="AA139" s="212"/>
      <c r="AB139" s="250"/>
      <c r="AC139" s="243" t="s">
        <v>57</v>
      </c>
      <c r="AD139" s="244"/>
      <c r="AE139" s="244"/>
      <c r="AF139" s="244"/>
      <c r="AG139" s="268"/>
      <c r="AH139" s="40"/>
      <c r="AI139" s="253"/>
      <c r="AJ139" s="254"/>
      <c r="AK139" s="254"/>
      <c r="AL139" s="251"/>
      <c r="AM139" s="251"/>
      <c r="AN139" s="251"/>
      <c r="AO139" s="251"/>
      <c r="AP139" s="252"/>
      <c r="AW139" s="146"/>
      <c r="AX139" s="146"/>
      <c r="AY139" s="146"/>
      <c r="AZ139" s="146"/>
      <c r="BA139" s="31"/>
      <c r="BB139" s="78"/>
    </row>
    <row r="140" spans="1:54" ht="15.75" thickBot="1" x14ac:dyDescent="0.3">
      <c r="A140" s="89" t="s">
        <v>58</v>
      </c>
      <c r="B140" s="123"/>
      <c r="C140" s="124">
        <v>100</v>
      </c>
      <c r="D140" s="45"/>
      <c r="E140" s="157"/>
      <c r="F140" s="9" t="s">
        <v>24</v>
      </c>
      <c r="G140" s="10"/>
      <c r="H140" s="10"/>
      <c r="I140" s="10"/>
      <c r="J140" s="9"/>
      <c r="K140" s="56"/>
      <c r="L140" s="174"/>
      <c r="M140" s="233"/>
      <c r="N140" s="9" t="s">
        <v>59</v>
      </c>
      <c r="O140" s="10"/>
      <c r="P140" s="10"/>
      <c r="Q140" s="10"/>
      <c r="R140" s="11"/>
      <c r="S140" s="11"/>
      <c r="T140" s="211"/>
      <c r="U140" s="57" t="s">
        <v>93</v>
      </c>
      <c r="V140" s="58"/>
      <c r="W140" s="58"/>
      <c r="X140" s="58"/>
      <c r="Y140" s="57"/>
      <c r="Z140" s="59"/>
      <c r="AA140" s="218"/>
      <c r="AB140" s="264"/>
      <c r="AC140" s="9" t="s">
        <v>60</v>
      </c>
      <c r="AD140" s="10"/>
      <c r="AE140" s="10"/>
      <c r="AF140" s="10"/>
      <c r="AG140" s="11"/>
      <c r="AH140" s="11"/>
      <c r="AI140" s="253"/>
      <c r="AJ140" s="57" t="s">
        <v>96</v>
      </c>
      <c r="AK140" s="58"/>
      <c r="AL140" s="58"/>
      <c r="AM140" s="58"/>
      <c r="AN140" s="57"/>
      <c r="AO140" s="59"/>
      <c r="AP140" s="252"/>
    </row>
    <row r="141" spans="1:54" ht="15.75" thickBot="1" x14ac:dyDescent="0.3">
      <c r="A141" s="89" t="s">
        <v>36</v>
      </c>
      <c r="B141" s="123"/>
      <c r="C141" s="31">
        <v>0</v>
      </c>
      <c r="D141" s="132"/>
      <c r="E141" s="207"/>
      <c r="F141" s="9" t="s">
        <v>29</v>
      </c>
      <c r="G141" s="10"/>
      <c r="H141" s="10"/>
      <c r="I141" s="9"/>
      <c r="J141" s="64" t="s">
        <v>30</v>
      </c>
      <c r="K141" s="65"/>
      <c r="L141" s="67"/>
      <c r="M141" s="227"/>
      <c r="N141" s="125" t="s">
        <v>29</v>
      </c>
      <c r="O141" s="126"/>
      <c r="P141" s="9"/>
      <c r="Q141" s="10"/>
      <c r="R141" s="65" t="s">
        <v>30</v>
      </c>
      <c r="S141" s="65"/>
      <c r="T141" s="211"/>
      <c r="U141" s="57" t="s">
        <v>29</v>
      </c>
      <c r="V141" s="58"/>
      <c r="W141" s="58"/>
      <c r="X141" s="57"/>
      <c r="Y141" s="58" t="s">
        <v>30</v>
      </c>
      <c r="Z141" s="66"/>
      <c r="AA141" s="218"/>
      <c r="AB141" s="264"/>
      <c r="AC141" s="125" t="s">
        <v>29</v>
      </c>
      <c r="AD141" s="126"/>
      <c r="AE141" s="9"/>
      <c r="AF141" s="10"/>
      <c r="AG141" s="65" t="s">
        <v>30</v>
      </c>
      <c r="AH141" s="65"/>
      <c r="AI141" s="253"/>
      <c r="AJ141" s="57" t="s">
        <v>29</v>
      </c>
      <c r="AK141" s="58"/>
      <c r="AL141" s="58"/>
      <c r="AM141" s="57"/>
      <c r="AN141" s="58" t="s">
        <v>30</v>
      </c>
      <c r="AO141" s="66"/>
      <c r="AP141" s="252"/>
    </row>
    <row r="142" spans="1:54" ht="15" x14ac:dyDescent="0.25">
      <c r="A142" s="89" t="s">
        <v>39</v>
      </c>
      <c r="B142" s="123"/>
      <c r="C142" s="31">
        <v>0</v>
      </c>
      <c r="D142" s="132"/>
      <c r="E142" s="207"/>
      <c r="F142" s="75" t="s">
        <v>31</v>
      </c>
      <c r="G142" s="76"/>
      <c r="H142" s="76"/>
      <c r="I142" s="76"/>
      <c r="J142" s="24">
        <f>C128*C129</f>
        <v>3600</v>
      </c>
      <c r="K142" s="77"/>
      <c r="L142" s="96"/>
      <c r="M142" s="234"/>
      <c r="N142" s="134" t="s">
        <v>31</v>
      </c>
      <c r="O142" s="135"/>
      <c r="P142" s="135"/>
      <c r="Q142" s="135"/>
      <c r="R142" s="24">
        <f>J142</f>
        <v>3600</v>
      </c>
      <c r="S142" s="136"/>
      <c r="T142" s="211"/>
      <c r="U142" s="79"/>
      <c r="V142" s="80"/>
      <c r="W142" s="80"/>
      <c r="X142" s="80"/>
      <c r="Y142" s="81"/>
      <c r="Z142" s="82"/>
      <c r="AA142" s="219"/>
      <c r="AB142" s="265"/>
      <c r="AC142" s="134" t="s">
        <v>31</v>
      </c>
      <c r="AD142" s="135"/>
      <c r="AE142" s="135"/>
      <c r="AF142" s="135"/>
      <c r="AG142" s="24">
        <f>J142</f>
        <v>3600</v>
      </c>
      <c r="AH142" s="136"/>
      <c r="AI142" s="253"/>
      <c r="AJ142" s="182"/>
      <c r="AK142" s="80"/>
      <c r="AL142" s="80"/>
      <c r="AM142" s="80"/>
      <c r="AN142" s="81"/>
      <c r="AO142" s="82"/>
      <c r="AP142" s="252"/>
      <c r="AZ142" s="137"/>
    </row>
    <row r="143" spans="1:54" ht="15" x14ac:dyDescent="0.25">
      <c r="A143" s="89" t="s">
        <v>61</v>
      </c>
      <c r="B143" s="123"/>
      <c r="C143" s="124">
        <v>50</v>
      </c>
      <c r="D143" s="45"/>
      <c r="E143" s="157"/>
      <c r="F143" s="89" t="str">
        <f>" "</f>
        <v xml:space="preserve"> </v>
      </c>
      <c r="G143" s="90"/>
      <c r="H143" s="90"/>
      <c r="I143" s="90"/>
      <c r="J143" s="31"/>
      <c r="K143" s="91"/>
      <c r="L143" s="96"/>
      <c r="M143" s="227"/>
      <c r="N143" s="89"/>
      <c r="O143" s="90"/>
      <c r="P143" s="90"/>
      <c r="Q143" s="90"/>
      <c r="R143" s="31"/>
      <c r="S143" s="138"/>
      <c r="T143" s="211"/>
      <c r="U143" s="166" t="s">
        <v>52</v>
      </c>
      <c r="V143" s="93"/>
      <c r="W143" s="93"/>
      <c r="X143" s="93"/>
      <c r="Y143" s="94">
        <f>Y136</f>
        <v>4160</v>
      </c>
      <c r="Z143" s="95"/>
      <c r="AA143" s="219"/>
      <c r="AB143" s="265"/>
      <c r="AC143" s="89" t="str">
        <f>" "</f>
        <v xml:space="preserve"> </v>
      </c>
      <c r="AD143" s="90"/>
      <c r="AE143" s="90"/>
      <c r="AF143" s="90"/>
      <c r="AG143" s="31"/>
      <c r="AH143" s="138"/>
      <c r="AI143" s="253"/>
      <c r="AJ143" s="179" t="s">
        <v>52</v>
      </c>
      <c r="AK143" s="100"/>
      <c r="AL143" s="100"/>
      <c r="AM143" s="100"/>
      <c r="AN143" s="94">
        <f>AN136</f>
        <v>4160</v>
      </c>
      <c r="AO143" s="95"/>
      <c r="AP143" s="252"/>
    </row>
    <row r="144" spans="1:54" ht="15.75" thickBot="1" x14ac:dyDescent="0.3">
      <c r="A144" s="125" t="s">
        <v>62</v>
      </c>
      <c r="B144" s="139"/>
      <c r="C144" s="140">
        <v>100</v>
      </c>
      <c r="D144" s="141"/>
      <c r="E144" s="157"/>
      <c r="F144" s="98" t="str">
        <f>"DA Incremental Cost @ "&amp;C128&amp;" MW"</f>
        <v>DA Incremental Cost @ 80 MW</v>
      </c>
      <c r="G144" s="99"/>
      <c r="H144" s="99"/>
      <c r="I144" s="99"/>
      <c r="J144" s="31">
        <f>F123</f>
        <v>1690</v>
      </c>
      <c r="K144" s="91"/>
      <c r="L144" s="96"/>
      <c r="M144" s="234"/>
      <c r="N144" s="98" t="s">
        <v>49</v>
      </c>
      <c r="O144" s="99"/>
      <c r="P144" s="99"/>
      <c r="Q144" s="99"/>
      <c r="R144" s="31">
        <f>J150</f>
        <v>0</v>
      </c>
      <c r="S144" s="138"/>
      <c r="T144" s="211"/>
      <c r="U144" s="101"/>
      <c r="V144" s="100"/>
      <c r="W144" s="100"/>
      <c r="X144" s="100"/>
      <c r="Y144" s="94"/>
      <c r="Z144" s="95"/>
      <c r="AA144" s="219"/>
      <c r="AB144" s="265"/>
      <c r="AC144" s="98" t="s">
        <v>49</v>
      </c>
      <c r="AD144" s="99"/>
      <c r="AE144" s="99"/>
      <c r="AF144" s="99"/>
      <c r="AG144" s="31">
        <f>J150</f>
        <v>0</v>
      </c>
      <c r="AH144" s="138"/>
      <c r="AI144" s="253"/>
      <c r="AJ144" s="184"/>
      <c r="AK144" s="100"/>
      <c r="AL144" s="100"/>
      <c r="AM144" s="100"/>
      <c r="AN144" s="94"/>
      <c r="AO144" s="95"/>
      <c r="AP144" s="252"/>
    </row>
    <row r="145" spans="1:43" ht="15.75" thickBot="1" x14ac:dyDescent="0.3">
      <c r="E145" s="55"/>
      <c r="F145" s="98" t="s">
        <v>40</v>
      </c>
      <c r="G145" s="99"/>
      <c r="H145" s="99"/>
      <c r="I145" s="99"/>
      <c r="J145" s="31">
        <f>C131</f>
        <v>0</v>
      </c>
      <c r="K145" s="91"/>
      <c r="L145" s="96"/>
      <c r="M145" s="230"/>
      <c r="N145" s="142" t="s">
        <v>63</v>
      </c>
      <c r="O145" s="143"/>
      <c r="P145" s="143"/>
      <c r="Q145" s="143"/>
      <c r="R145" s="31">
        <f>J130</f>
        <v>340</v>
      </c>
      <c r="S145" s="138"/>
      <c r="T145" s="211"/>
      <c r="U145" s="166" t="str">
        <f>"RT Incremental Cost @ "&amp;C139&amp;" MW"</f>
        <v>RT Incremental Cost @ 85 MW</v>
      </c>
      <c r="V145" s="93"/>
      <c r="W145" s="93"/>
      <c r="X145" s="93"/>
      <c r="Y145" s="94">
        <f>R149</f>
        <v>1822.5</v>
      </c>
      <c r="Z145" s="95"/>
      <c r="AA145" s="219"/>
      <c r="AB145" s="265"/>
      <c r="AC145" s="142" t="s">
        <v>63</v>
      </c>
      <c r="AD145" s="143"/>
      <c r="AE145" s="143"/>
      <c r="AF145" s="143"/>
      <c r="AG145" s="31">
        <f>J130</f>
        <v>340</v>
      </c>
      <c r="AH145" s="138"/>
      <c r="AI145" s="253"/>
      <c r="AJ145" s="179" t="str">
        <f>"RT Incremental Cost @ "&amp;C137&amp;" MW"</f>
        <v>RT Incremental Cost @ 85 MW</v>
      </c>
      <c r="AK145" s="100"/>
      <c r="AL145" s="100"/>
      <c r="AM145" s="100"/>
      <c r="AN145" s="94">
        <f>AG149</f>
        <v>1822.5</v>
      </c>
      <c r="AO145" s="95"/>
      <c r="AP145" s="252"/>
    </row>
    <row r="146" spans="1:43" ht="28.5" x14ac:dyDescent="0.2">
      <c r="A146" s="26" t="s">
        <v>64</v>
      </c>
      <c r="B146" s="21"/>
      <c r="C146" s="21"/>
      <c r="D146" s="189"/>
      <c r="E146" s="157"/>
      <c r="F146" s="98" t="s">
        <v>43</v>
      </c>
      <c r="G146" s="99"/>
      <c r="H146" s="99"/>
      <c r="I146" s="99"/>
      <c r="J146" s="31">
        <f>C130</f>
        <v>0</v>
      </c>
      <c r="K146" s="91"/>
      <c r="L146" s="288"/>
      <c r="M146" s="235"/>
      <c r="N146" s="98" t="s">
        <v>65</v>
      </c>
      <c r="O146" s="99"/>
      <c r="P146" s="99"/>
      <c r="Q146" s="99"/>
      <c r="R146" s="31">
        <f>(C139-C128)*C138</f>
        <v>235</v>
      </c>
      <c r="S146" s="138"/>
      <c r="T146" s="225"/>
      <c r="U146" s="101" t="s">
        <v>67</v>
      </c>
      <c r="V146" s="100"/>
      <c r="W146" s="100"/>
      <c r="X146" s="100"/>
      <c r="Y146" s="94">
        <f>C142</f>
        <v>0</v>
      </c>
      <c r="Z146" s="95"/>
      <c r="AA146" s="219"/>
      <c r="AB146" s="265"/>
      <c r="AC146" s="98" t="s">
        <v>66</v>
      </c>
      <c r="AD146" s="99"/>
      <c r="AE146" s="99"/>
      <c r="AF146" s="99"/>
      <c r="AG146" s="31">
        <f>(C137-C128)*C138</f>
        <v>235</v>
      </c>
      <c r="AH146" s="138"/>
      <c r="AI146" s="255"/>
      <c r="AJ146" s="179" t="s">
        <v>67</v>
      </c>
      <c r="AK146" s="100"/>
      <c r="AL146" s="100"/>
      <c r="AM146" s="100"/>
      <c r="AN146" s="94">
        <f>AG150</f>
        <v>0</v>
      </c>
      <c r="AO146" s="95"/>
      <c r="AP146" s="252"/>
    </row>
    <row r="147" spans="1:43" ht="15" x14ac:dyDescent="0.25">
      <c r="A147" s="89" t="s">
        <v>68</v>
      </c>
      <c r="B147" s="123"/>
      <c r="C147" s="123">
        <v>20</v>
      </c>
      <c r="D147" s="45"/>
      <c r="E147" s="157"/>
      <c r="F147" s="89" t="str">
        <f>" "</f>
        <v xml:space="preserve"> </v>
      </c>
      <c r="G147" s="90"/>
      <c r="H147" s="90"/>
      <c r="I147" s="90"/>
      <c r="J147" s="31"/>
      <c r="K147" s="91"/>
      <c r="L147" s="96"/>
      <c r="M147" s="236"/>
      <c r="N147" s="275" t="s">
        <v>69</v>
      </c>
      <c r="O147" s="203"/>
      <c r="P147" s="203"/>
      <c r="Q147" s="203"/>
      <c r="R147" s="31">
        <f>R130</f>
        <v>0</v>
      </c>
      <c r="S147" s="138"/>
      <c r="T147" s="213"/>
      <c r="U147" s="166" t="s">
        <v>70</v>
      </c>
      <c r="V147" s="93"/>
      <c r="W147" s="93"/>
      <c r="X147" s="93"/>
      <c r="Y147" s="147">
        <f>C141</f>
        <v>0</v>
      </c>
      <c r="Z147" s="148"/>
      <c r="AA147" s="220"/>
      <c r="AB147" s="265"/>
      <c r="AC147" s="271" t="s">
        <v>69</v>
      </c>
      <c r="AD147" s="203"/>
      <c r="AE147" s="203"/>
      <c r="AF147" s="203"/>
      <c r="AG147" s="31">
        <f>AG130</f>
        <v>0</v>
      </c>
      <c r="AH147" s="138"/>
      <c r="AI147" s="253"/>
      <c r="AJ147" s="179" t="s">
        <v>70</v>
      </c>
      <c r="AK147" s="100"/>
      <c r="AL147" s="100"/>
      <c r="AM147" s="100"/>
      <c r="AN147" s="147">
        <f>AG151</f>
        <v>0</v>
      </c>
      <c r="AO147" s="148"/>
      <c r="AP147" s="252"/>
    </row>
    <row r="148" spans="1:43" ht="15" x14ac:dyDescent="0.25">
      <c r="A148" s="89" t="s">
        <v>71</v>
      </c>
      <c r="B148" s="123"/>
      <c r="C148" s="31">
        <v>25</v>
      </c>
      <c r="D148" s="45"/>
      <c r="E148" s="157"/>
      <c r="F148" s="98" t="s">
        <v>47</v>
      </c>
      <c r="G148" s="99"/>
      <c r="H148" s="99"/>
      <c r="I148" s="99"/>
      <c r="J148" s="114">
        <f>J142-J144-J145-J146</f>
        <v>1910</v>
      </c>
      <c r="K148" s="115"/>
      <c r="L148" s="288"/>
      <c r="M148" s="237"/>
      <c r="N148" s="89"/>
      <c r="O148" s="90"/>
      <c r="P148" s="90"/>
      <c r="Q148" s="90"/>
      <c r="R148" s="31"/>
      <c r="S148" s="138"/>
      <c r="T148" s="213"/>
      <c r="U148" s="101"/>
      <c r="V148" s="100"/>
      <c r="W148" s="100"/>
      <c r="X148" s="100"/>
      <c r="Y148" s="94"/>
      <c r="Z148" s="95"/>
      <c r="AA148" s="219"/>
      <c r="AB148" s="265"/>
      <c r="AC148" s="98"/>
      <c r="AD148" s="99"/>
      <c r="AE148" s="99"/>
      <c r="AF148" s="99"/>
      <c r="AG148" s="31"/>
      <c r="AH148" s="138"/>
      <c r="AI148" s="255"/>
      <c r="AJ148" s="184"/>
      <c r="AK148" s="100"/>
      <c r="AL148" s="100"/>
      <c r="AM148" s="100"/>
      <c r="AN148" s="94"/>
      <c r="AO148" s="95"/>
      <c r="AP148" s="252"/>
    </row>
    <row r="149" spans="1:43" ht="15.75" thickBot="1" x14ac:dyDescent="0.3">
      <c r="A149" s="89" t="s">
        <v>72</v>
      </c>
      <c r="B149" s="123"/>
      <c r="C149" s="123">
        <v>1</v>
      </c>
      <c r="D149" s="45"/>
      <c r="E149" s="157"/>
      <c r="F149" s="89" t="str">
        <f>" "</f>
        <v xml:space="preserve"> </v>
      </c>
      <c r="G149" s="90"/>
      <c r="H149" s="90"/>
      <c r="I149" s="90"/>
      <c r="J149" s="31"/>
      <c r="K149" s="91"/>
      <c r="L149" s="288"/>
      <c r="M149" s="238"/>
      <c r="N149" s="98" t="str">
        <f>"RT Incremental Cost @ "&amp;C139&amp;" MW"</f>
        <v>RT Incremental Cost @ 85 MW</v>
      </c>
      <c r="O149" s="99"/>
      <c r="P149" s="99"/>
      <c r="Q149" s="99"/>
      <c r="R149" s="31">
        <f>T123</f>
        <v>1822.5</v>
      </c>
      <c r="S149" s="138"/>
      <c r="T149" s="211"/>
      <c r="U149" s="166" t="s">
        <v>73</v>
      </c>
      <c r="V149" s="93"/>
      <c r="W149" s="93"/>
      <c r="X149" s="93"/>
      <c r="Y149" s="120">
        <f>Y143-Y145-Y146-Y147</f>
        <v>2337.5</v>
      </c>
      <c r="Z149" s="121"/>
      <c r="AA149" s="219"/>
      <c r="AB149" s="265"/>
      <c r="AC149" s="98" t="str">
        <f>"RT Incremental Cost @ "&amp;C137&amp;" MW"</f>
        <v>RT Incremental Cost @ 85 MW</v>
      </c>
      <c r="AD149" s="99"/>
      <c r="AE149" s="99"/>
      <c r="AF149" s="99"/>
      <c r="AG149" s="31">
        <f>M123</f>
        <v>1822.5</v>
      </c>
      <c r="AH149" s="138"/>
      <c r="AI149" s="255"/>
      <c r="AJ149" s="179" t="s">
        <v>73</v>
      </c>
      <c r="AK149" s="100"/>
      <c r="AL149" s="100"/>
      <c r="AM149" s="100"/>
      <c r="AN149" s="120">
        <f>AN143-AN145-AN146-AN147</f>
        <v>2337.5</v>
      </c>
      <c r="AO149" s="121"/>
      <c r="AP149" s="252"/>
      <c r="AQ149" s="137"/>
    </row>
    <row r="150" spans="1:43" ht="16.5" thickTop="1" thickBot="1" x14ac:dyDescent="0.3">
      <c r="A150" s="89" t="s">
        <v>74</v>
      </c>
      <c r="B150" s="123"/>
      <c r="C150" s="123">
        <v>100</v>
      </c>
      <c r="D150" s="45"/>
      <c r="E150" s="157"/>
      <c r="F150" s="98" t="s">
        <v>49</v>
      </c>
      <c r="G150" s="99"/>
      <c r="H150" s="99"/>
      <c r="I150" s="99"/>
      <c r="J150" s="118">
        <f>MAX(J148*-1,0)</f>
        <v>0</v>
      </c>
      <c r="K150" s="119"/>
      <c r="L150" s="96"/>
      <c r="M150" s="238"/>
      <c r="N150" s="98" t="s">
        <v>67</v>
      </c>
      <c r="O150" s="99"/>
      <c r="P150" s="99"/>
      <c r="Q150" s="99"/>
      <c r="R150" s="31">
        <f>C142</f>
        <v>0</v>
      </c>
      <c r="S150" s="138"/>
      <c r="T150" s="211"/>
      <c r="U150" s="101"/>
      <c r="V150" s="100"/>
      <c r="W150" s="100"/>
      <c r="X150" s="100"/>
      <c r="Y150" s="94"/>
      <c r="Z150" s="95"/>
      <c r="AA150" s="219"/>
      <c r="AB150" s="265"/>
      <c r="AC150" s="98" t="s">
        <v>67</v>
      </c>
      <c r="AD150" s="99"/>
      <c r="AE150" s="99"/>
      <c r="AF150" s="99"/>
      <c r="AG150" s="31">
        <f>C142</f>
        <v>0</v>
      </c>
      <c r="AH150" s="138"/>
      <c r="AI150" s="253"/>
      <c r="AJ150" s="184"/>
      <c r="AK150" s="100"/>
      <c r="AL150" s="100"/>
      <c r="AM150" s="100"/>
      <c r="AN150" s="94"/>
      <c r="AO150" s="95"/>
      <c r="AP150" s="252"/>
    </row>
    <row r="151" spans="1:43" ht="16.5" thickTop="1" thickBot="1" x14ac:dyDescent="0.3">
      <c r="A151" s="125" t="s">
        <v>75</v>
      </c>
      <c r="B151" s="139"/>
      <c r="C151" s="139">
        <v>100</v>
      </c>
      <c r="D151" s="141"/>
      <c r="E151" s="157"/>
      <c r="F151" s="125" t="str">
        <f>" "</f>
        <v xml:space="preserve"> </v>
      </c>
      <c r="G151" s="126"/>
      <c r="H151" s="126"/>
      <c r="I151" s="126"/>
      <c r="J151" s="37"/>
      <c r="K151" s="127"/>
      <c r="L151" s="96"/>
      <c r="M151" s="238"/>
      <c r="N151" s="98" t="s">
        <v>70</v>
      </c>
      <c r="O151" s="99"/>
      <c r="P151" s="99"/>
      <c r="Q151" s="99"/>
      <c r="R151" s="31">
        <f>C141</f>
        <v>0</v>
      </c>
      <c r="S151" s="138"/>
      <c r="T151" s="211"/>
      <c r="U151" s="282" t="s">
        <v>100</v>
      </c>
      <c r="V151" s="283"/>
      <c r="W151" s="283"/>
      <c r="X151" s="283"/>
      <c r="Y151" s="128">
        <f>Y149+R131</f>
        <v>2352.5</v>
      </c>
      <c r="Z151" s="129"/>
      <c r="AA151" s="219"/>
      <c r="AB151" s="265"/>
      <c r="AC151" s="98" t="s">
        <v>70</v>
      </c>
      <c r="AD151" s="99"/>
      <c r="AE151" s="99"/>
      <c r="AF151" s="99"/>
      <c r="AG151" s="31">
        <f>C141</f>
        <v>0</v>
      </c>
      <c r="AH151" s="138"/>
      <c r="AI151" s="251"/>
      <c r="AJ151" s="188" t="str">
        <f>" "</f>
        <v xml:space="preserve"> </v>
      </c>
      <c r="AK151" s="69"/>
      <c r="AL151" s="69"/>
      <c r="AM151" s="69"/>
      <c r="AN151" s="128"/>
      <c r="AO151" s="129"/>
      <c r="AP151" s="252"/>
    </row>
    <row r="152" spans="1:43" ht="15" x14ac:dyDescent="0.25">
      <c r="A152" s="149"/>
      <c r="B152" s="137"/>
      <c r="C152" s="54"/>
      <c r="D152" s="54"/>
      <c r="E152" s="55"/>
      <c r="L152" s="55"/>
      <c r="M152" s="239"/>
      <c r="N152" s="281" t="s">
        <v>98</v>
      </c>
      <c r="O152" s="143"/>
      <c r="P152" s="143"/>
      <c r="Q152" s="143"/>
      <c r="R152" s="273">
        <v>0</v>
      </c>
      <c r="S152" s="274"/>
      <c r="T152" s="211"/>
      <c r="U152" s="211"/>
      <c r="V152" s="211"/>
      <c r="W152" s="211"/>
      <c r="X152" s="211"/>
      <c r="Y152" s="211"/>
      <c r="Z152" s="211"/>
      <c r="AA152" s="212"/>
      <c r="AB152" s="266"/>
      <c r="AC152" s="142" t="s">
        <v>98</v>
      </c>
      <c r="AD152" s="143"/>
      <c r="AE152" s="143"/>
      <c r="AF152" s="143"/>
      <c r="AG152" s="273">
        <f>AG131*-1</f>
        <v>-15</v>
      </c>
      <c r="AH152" s="274"/>
      <c r="AI152" s="251"/>
      <c r="AJ152" s="251"/>
      <c r="AK152" s="251"/>
      <c r="AL152" s="251"/>
      <c r="AM152" s="251"/>
      <c r="AN152" s="251"/>
      <c r="AO152" s="251"/>
      <c r="AP152" s="252"/>
    </row>
    <row r="153" spans="1:43" ht="15.75" thickBot="1" x14ac:dyDescent="0.3">
      <c r="A153" s="201"/>
      <c r="B153" s="202"/>
      <c r="C153" s="201"/>
      <c r="D153" s="201"/>
      <c r="E153" s="210"/>
      <c r="J153" s="137"/>
      <c r="L153" s="55"/>
      <c r="M153" s="238"/>
      <c r="N153" s="142" t="s">
        <v>97</v>
      </c>
      <c r="O153" s="203"/>
      <c r="P153" s="203"/>
      <c r="Q153" s="203"/>
      <c r="R153" s="31">
        <f>R132*-1</f>
        <v>0</v>
      </c>
      <c r="S153" s="138"/>
      <c r="T153" s="211"/>
      <c r="U153" s="211"/>
      <c r="V153" s="211"/>
      <c r="W153" s="211"/>
      <c r="X153" s="211"/>
      <c r="Y153" s="211"/>
      <c r="Z153" s="211"/>
      <c r="AA153" s="212"/>
      <c r="AB153" s="265"/>
      <c r="AC153" s="142" t="s">
        <v>97</v>
      </c>
      <c r="AD153" s="203"/>
      <c r="AE153" s="203"/>
      <c r="AF153" s="203"/>
      <c r="AG153" s="31">
        <f>AG132*-1</f>
        <v>0</v>
      </c>
      <c r="AH153" s="138"/>
      <c r="AI153" s="253"/>
      <c r="AJ153" s="251"/>
      <c r="AK153" s="251"/>
      <c r="AL153" s="251"/>
      <c r="AM153" s="251"/>
      <c r="AN153" s="251"/>
      <c r="AO153" s="251"/>
      <c r="AP153" s="252"/>
    </row>
    <row r="154" spans="1:43" ht="15" x14ac:dyDescent="0.25">
      <c r="A154" s="20"/>
      <c r="B154" s="195"/>
      <c r="C154" s="135"/>
      <c r="D154" s="42"/>
      <c r="E154" s="157"/>
      <c r="L154" s="290"/>
      <c r="M154" s="238"/>
      <c r="N154" s="142" t="s">
        <v>76</v>
      </c>
      <c r="O154" s="143"/>
      <c r="P154" s="143"/>
      <c r="Q154" s="143"/>
      <c r="R154" s="31">
        <f>R137</f>
        <v>0</v>
      </c>
      <c r="S154" s="138"/>
      <c r="T154" s="213"/>
      <c r="U154" s="211"/>
      <c r="V154" s="211"/>
      <c r="W154" s="211"/>
      <c r="X154" s="211"/>
      <c r="Y154" s="211"/>
      <c r="Z154" s="211"/>
      <c r="AA154" s="212"/>
      <c r="AB154" s="265"/>
      <c r="AC154" s="142" t="s">
        <v>76</v>
      </c>
      <c r="AD154" s="143"/>
      <c r="AE154" s="143"/>
      <c r="AF154" s="143"/>
      <c r="AG154" s="31">
        <f>AG137</f>
        <v>0</v>
      </c>
      <c r="AH154" s="138"/>
      <c r="AI154" s="253"/>
      <c r="AJ154" s="251"/>
      <c r="AK154" s="251"/>
      <c r="AL154" s="251"/>
      <c r="AM154" s="251"/>
      <c r="AN154" s="251"/>
      <c r="AO154" s="251"/>
      <c r="AP154" s="252"/>
    </row>
    <row r="155" spans="1:43" ht="15" x14ac:dyDescent="0.25">
      <c r="A155" s="89" t="s">
        <v>78</v>
      </c>
      <c r="B155" s="123"/>
      <c r="C155" s="123">
        <v>15</v>
      </c>
      <c r="D155" s="45"/>
      <c r="E155" s="157"/>
      <c r="L155" s="290"/>
      <c r="M155" s="227"/>
      <c r="N155" s="151" t="s">
        <v>77</v>
      </c>
      <c r="O155" s="99"/>
      <c r="P155" s="99"/>
      <c r="Q155" s="99"/>
      <c r="R155" s="114">
        <f>R142+R145+R146+R147+R148-R149-R150-R151+R154+R152+R153</f>
        <v>2352.5</v>
      </c>
      <c r="S155" s="152"/>
      <c r="T155" s="213"/>
      <c r="U155" s="211"/>
      <c r="V155" s="211"/>
      <c r="W155" s="213"/>
      <c r="X155" s="211"/>
      <c r="Y155" s="211"/>
      <c r="Z155" s="211"/>
      <c r="AA155" s="212"/>
      <c r="AB155" s="265"/>
      <c r="AC155" s="151" t="s">
        <v>77</v>
      </c>
      <c r="AD155" s="150"/>
      <c r="AE155" s="150"/>
      <c r="AF155" s="150"/>
      <c r="AG155" s="114">
        <f>AG142+AG146+AG154+AG145+AG147+AG152-AG149-AG150-AG151+AG153</f>
        <v>2337.5</v>
      </c>
      <c r="AH155" s="152"/>
      <c r="AI155" s="253"/>
      <c r="AJ155" s="251"/>
      <c r="AK155" s="251"/>
      <c r="AL155" s="251"/>
      <c r="AM155" s="251"/>
      <c r="AN155" s="251"/>
      <c r="AO155" s="251"/>
      <c r="AP155" s="252"/>
    </row>
    <row r="156" spans="1:43" ht="15" x14ac:dyDescent="0.25">
      <c r="A156" s="89" t="s">
        <v>80</v>
      </c>
      <c r="B156" s="123"/>
      <c r="C156" s="123">
        <f>IF(C155&gt;0,MIN(C160-C137,C155),0)</f>
        <v>15</v>
      </c>
      <c r="D156" s="45"/>
      <c r="E156" s="157"/>
      <c r="L156" s="290"/>
      <c r="M156" s="227"/>
      <c r="N156" s="32"/>
      <c r="O156" s="28"/>
      <c r="P156" s="28"/>
      <c r="Q156" s="28"/>
      <c r="R156" s="28"/>
      <c r="S156" s="272"/>
      <c r="T156" s="211"/>
      <c r="U156" s="211"/>
      <c r="V156" s="211"/>
      <c r="W156" s="211"/>
      <c r="X156" s="211"/>
      <c r="Y156" s="211"/>
      <c r="Z156" s="211"/>
      <c r="AA156" s="212"/>
      <c r="AB156" s="265"/>
      <c r="AC156" s="89" t="str">
        <f>" "</f>
        <v xml:space="preserve"> </v>
      </c>
      <c r="AD156" s="90"/>
      <c r="AE156" s="90"/>
      <c r="AF156" s="90"/>
      <c r="AG156" s="31"/>
      <c r="AH156" s="138"/>
      <c r="AI156" s="253"/>
      <c r="AJ156" s="251"/>
      <c r="AK156" s="251"/>
      <c r="AL156" s="251"/>
      <c r="AM156" s="251"/>
      <c r="AN156" s="251"/>
      <c r="AO156" s="251"/>
      <c r="AP156" s="252"/>
    </row>
    <row r="157" spans="1:43" ht="15.75" thickBot="1" x14ac:dyDescent="0.3">
      <c r="A157" s="89" t="s">
        <v>81</v>
      </c>
      <c r="B157" s="123"/>
      <c r="C157" s="196">
        <v>35</v>
      </c>
      <c r="D157" s="45"/>
      <c r="E157" s="157"/>
      <c r="K157" s="137"/>
      <c r="L157" s="55"/>
      <c r="M157" s="227"/>
      <c r="N157" s="98" t="s">
        <v>79</v>
      </c>
      <c r="O157" s="99"/>
      <c r="P157" s="99"/>
      <c r="Q157" s="99"/>
      <c r="R157" s="118">
        <f>MAX(MAX(R155*-1,0)-R144,0)</f>
        <v>0</v>
      </c>
      <c r="S157" s="153"/>
      <c r="T157" s="211"/>
      <c r="U157" s="211"/>
      <c r="V157" s="211"/>
      <c r="W157" s="211"/>
      <c r="X157" s="211"/>
      <c r="Y157" s="211"/>
      <c r="Z157" s="211"/>
      <c r="AA157" s="212"/>
      <c r="AB157" s="265"/>
      <c r="AC157" s="151" t="s">
        <v>79</v>
      </c>
      <c r="AD157" s="150"/>
      <c r="AE157" s="150"/>
      <c r="AF157" s="150"/>
      <c r="AG157" s="118">
        <f>MAX(MAX(AG155*-1,0)-AG144,0)</f>
        <v>0</v>
      </c>
      <c r="AH157" s="153"/>
      <c r="AI157" s="253"/>
      <c r="AJ157" s="251"/>
      <c r="AK157" s="251"/>
      <c r="AL157" s="251"/>
      <c r="AM157" s="251"/>
      <c r="AN157" s="251"/>
      <c r="AO157" s="251"/>
      <c r="AP157" s="252"/>
    </row>
    <row r="158" spans="1:43" ht="16.5" thickTop="1" thickBot="1" x14ac:dyDescent="0.3">
      <c r="A158" s="89" t="s">
        <v>82</v>
      </c>
      <c r="B158" s="123"/>
      <c r="C158" s="199">
        <f>IF(AND(C155&gt;0,C160-C140&lt;=C155),1,0)</f>
        <v>1</v>
      </c>
      <c r="D158" s="200"/>
      <c r="E158" s="96"/>
      <c r="L158" s="290"/>
      <c r="M158" s="234"/>
      <c r="N158" s="125" t="str">
        <f>" "</f>
        <v xml:space="preserve"> </v>
      </c>
      <c r="O158" s="126"/>
      <c r="P158" s="126"/>
      <c r="Q158" s="126"/>
      <c r="R158" s="37"/>
      <c r="S158" s="156"/>
      <c r="T158" s="214"/>
      <c r="U158" s="211"/>
      <c r="V158" s="211"/>
      <c r="W158" s="211"/>
      <c r="X158" s="211"/>
      <c r="Y158" s="211"/>
      <c r="Z158" s="211"/>
      <c r="AA158" s="212"/>
      <c r="AB158" s="250"/>
      <c r="AC158" s="125" t="str">
        <f>" "</f>
        <v xml:space="preserve"> </v>
      </c>
      <c r="AD158" s="126"/>
      <c r="AE158" s="126"/>
      <c r="AF158" s="126"/>
      <c r="AG158" s="37"/>
      <c r="AH158" s="155"/>
      <c r="AI158" s="253"/>
      <c r="AJ158" s="251"/>
      <c r="AK158" s="251"/>
      <c r="AL158" s="251"/>
      <c r="AM158" s="251"/>
      <c r="AN158" s="251"/>
      <c r="AO158" s="251"/>
      <c r="AP158" s="252"/>
    </row>
    <row r="159" spans="1:43" ht="15.75" thickBot="1" x14ac:dyDescent="0.3">
      <c r="A159" s="89" t="s">
        <v>83</v>
      </c>
      <c r="B159" s="123"/>
      <c r="C159" s="199">
        <v>1</v>
      </c>
      <c r="D159" s="200"/>
      <c r="E159" s="96"/>
      <c r="L159" s="55"/>
      <c r="M159" s="240"/>
      <c r="N159" s="241"/>
      <c r="O159" s="241"/>
      <c r="P159" s="215"/>
      <c r="Q159" s="215"/>
      <c r="R159" s="242"/>
      <c r="S159" s="241"/>
      <c r="T159" s="215"/>
      <c r="U159" s="215"/>
      <c r="V159" s="215"/>
      <c r="W159" s="215"/>
      <c r="X159" s="215"/>
      <c r="Y159" s="215"/>
      <c r="Z159" s="215"/>
      <c r="AA159" s="216"/>
      <c r="AB159" s="267"/>
      <c r="AC159" s="256"/>
      <c r="AD159" s="256"/>
      <c r="AE159" s="256"/>
      <c r="AF159" s="256"/>
      <c r="AG159" s="256"/>
      <c r="AH159" s="256"/>
      <c r="AI159" s="256"/>
      <c r="AJ159" s="257"/>
      <c r="AK159" s="257"/>
      <c r="AL159" s="257"/>
      <c r="AM159" s="257"/>
      <c r="AN159" s="257"/>
      <c r="AO159" s="257"/>
      <c r="AP159" s="258"/>
    </row>
    <row r="160" spans="1:43" ht="15" x14ac:dyDescent="0.25">
      <c r="A160" s="89" t="s">
        <v>84</v>
      </c>
      <c r="B160" s="123"/>
      <c r="C160" s="124">
        <v>100</v>
      </c>
      <c r="D160" s="45"/>
      <c r="E160" s="157"/>
      <c r="L160" s="55"/>
      <c r="M160" s="54"/>
      <c r="AB160" s="55"/>
      <c r="AC160" s="55"/>
      <c r="AD160" s="55"/>
      <c r="AE160" s="55"/>
      <c r="AF160" s="55"/>
      <c r="AG160" s="55"/>
      <c r="AH160" s="55"/>
      <c r="AI160" s="55"/>
    </row>
    <row r="161" spans="1:46" ht="15" x14ac:dyDescent="0.25">
      <c r="A161" s="89" t="s">
        <v>85</v>
      </c>
      <c r="B161" s="123"/>
      <c r="C161" s="124">
        <f>IF(AND(C158=1,C155&gt;C147),MAX(MIN(C140,C160)-(C155-MIN(C160,C140,0)),0),C140)</f>
        <v>100</v>
      </c>
      <c r="D161" s="45"/>
      <c r="E161" s="157"/>
      <c r="L161" s="55"/>
      <c r="T161" s="54"/>
      <c r="U161" s="158" t="s">
        <v>86</v>
      </c>
      <c r="V161" s="159"/>
      <c r="W161" s="54"/>
      <c r="X161" s="54"/>
      <c r="AD161" s="137"/>
      <c r="AM161" s="55"/>
      <c r="AN161" s="55"/>
      <c r="AO161" s="55"/>
      <c r="AP161" s="55"/>
      <c r="AQ161" s="55"/>
      <c r="AR161" s="55"/>
      <c r="AS161" s="55"/>
      <c r="AT161" s="55"/>
    </row>
    <row r="162" spans="1:46" ht="15.75" thickBot="1" x14ac:dyDescent="0.3">
      <c r="A162" s="125" t="s">
        <v>87</v>
      </c>
      <c r="B162" s="139"/>
      <c r="C162" s="139">
        <f>IF(AND(C159=1,C156&gt;C147),MAX(MIN(C140,C160)-(C156-MAX(C160-C140,0)),C137),C140)</f>
        <v>100</v>
      </c>
      <c r="D162" s="141"/>
      <c r="E162" s="157"/>
      <c r="L162" s="55"/>
      <c r="T162" s="149" t="s">
        <v>88</v>
      </c>
      <c r="U162" s="160" t="s">
        <v>89</v>
      </c>
      <c r="V162" s="160"/>
      <c r="W162" s="160"/>
      <c r="X162" s="161"/>
      <c r="Y162" s="103">
        <f>MIN(R156,AG156)</f>
        <v>0</v>
      </c>
      <c r="AB162" s="145"/>
      <c r="AM162" s="55"/>
      <c r="AN162" s="55"/>
      <c r="AO162" s="55"/>
      <c r="AP162" s="55"/>
      <c r="AQ162" s="55"/>
      <c r="AR162" s="55"/>
      <c r="AS162" s="55"/>
      <c r="AT162" s="55"/>
    </row>
    <row r="163" spans="1:46" ht="42.75" x14ac:dyDescent="0.25">
      <c r="A163" s="149" t="s">
        <v>99</v>
      </c>
      <c r="C163">
        <v>1</v>
      </c>
      <c r="E163" s="55"/>
      <c r="L163" s="55"/>
      <c r="U163" s="162" t="s">
        <v>90</v>
      </c>
      <c r="V163" s="162"/>
      <c r="W163" s="162"/>
      <c r="X163" s="163"/>
      <c r="Y163" s="175"/>
      <c r="Z163" s="175"/>
      <c r="AA163" s="175"/>
      <c r="AB163" s="164"/>
      <c r="AC163" s="164"/>
      <c r="AD163" s="165"/>
      <c r="AE163" s="165"/>
      <c r="AM163" s="55"/>
      <c r="AN163" s="55"/>
      <c r="AO163" s="55"/>
      <c r="AP163" s="55"/>
      <c r="AQ163" s="55"/>
      <c r="AR163" s="55"/>
      <c r="AS163" s="55"/>
      <c r="AT163" s="55"/>
    </row>
    <row r="164" spans="1:46" ht="15" x14ac:dyDescent="0.25">
      <c r="A164" s="149"/>
    </row>
    <row r="168" spans="1:46" x14ac:dyDescent="0.2">
      <c r="W168" s="145"/>
    </row>
    <row r="169" spans="1:46" x14ac:dyDescent="0.2">
      <c r="W169" s="137"/>
    </row>
    <row r="170" spans="1:46" x14ac:dyDescent="0.2">
      <c r="W170" s="137"/>
      <c r="Y170" s="137"/>
      <c r="AA170" s="137"/>
    </row>
    <row r="171" spans="1:46" x14ac:dyDescent="0.2">
      <c r="AA171" s="137"/>
    </row>
  </sheetData>
  <mergeCells count="3">
    <mergeCell ref="AB23:AB24"/>
    <mergeCell ref="A2:T2"/>
    <mergeCell ref="A110:X110"/>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Reserve Increase in RT</vt:lpstr>
      <vt:lpstr>Market Revenue Neutrality</vt:lpstr>
      <vt:lpstr>Reserve Decrease In RT</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Weathers, Brian</dc:creator>
  <cp:lastModifiedBy>_</cp:lastModifiedBy>
  <dcterms:created xsi:type="dcterms:W3CDTF">2019-10-29T21:38:08Z</dcterms:created>
  <dcterms:modified xsi:type="dcterms:W3CDTF">2024-07-10T17:09:15Z</dcterms:modified>
</cp:coreProperties>
</file>