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961A3D9-0360-429C-A702-C2F12ADE8710}" xr6:coauthVersionLast="47" xr6:coauthVersionMax="47" xr10:uidLastSave="{00000000-0000-0000-0000-000000000000}"/>
  <bookViews>
    <workbookView xWindow="-110" yWindow="-110" windowWidth="19420" windowHeight="11620" tabRatio="929" xr2:uid="{F728D532-CB19-42C0-B110-FBB88B18B572}"/>
  </bookViews>
  <sheets>
    <sheet name="Cover Page" sheetId="58" r:id="rId1"/>
    <sheet name="ToC" sheetId="44" r:id="rId2"/>
    <sheet name="Read Me" sheetId="105" r:id="rId3"/>
    <sheet name="Control" sheetId="1" r:id="rId4"/>
    <sheet name="Tables &gt;&gt;" sheetId="2" r:id="rId5"/>
    <sheet name="Net CONE-RTO Benchmarks" sheetId="103" r:id="rId6"/>
    <sheet name="CONE-All Areas" sheetId="132" r:id="rId7"/>
    <sheet name="CONE Summary - CT" sheetId="48" r:id="rId8"/>
    <sheet name="CONE Summary - CC" sheetId="68" r:id="rId9"/>
    <sheet name="CONE Summary - BESS" sheetId="47" r:id="rId10"/>
    <sheet name="Capital Costs - CT" sheetId="49" r:id="rId11"/>
    <sheet name="Capital Costs - CC" sheetId="69" r:id="rId12"/>
    <sheet name="Capital Costs - BESS" sheetId="45" r:id="rId13"/>
    <sheet name="O&amp;M Costs - CT" sheetId="50" r:id="rId14"/>
    <sheet name="O&amp;M Costs - CC" sheetId="70" r:id="rId15"/>
    <sheet name="O&amp;M Costs - BESS" sheetId="46" r:id="rId16"/>
    <sheet name="Reservation Price Analysis &gt;&gt;" sheetId="133" r:id="rId17"/>
    <sheet name="Reservation Prices Table" sheetId="131" r:id="rId18"/>
    <sheet name="Reservation Price" sheetId="130" r:id="rId19"/>
    <sheet name="Main Analysis &gt;&gt;" sheetId="4" r:id="rId20"/>
    <sheet name="Cash Flows" sheetId="7" r:id="rId21"/>
    <sheet name="Construction Costs" sheetId="35" r:id="rId22"/>
    <sheet name="Supporting Analysis &gt;&gt;" sheetId="5" r:id="rId23"/>
    <sheet name="Annual FOM Costs" sheetId="32" r:id="rId24"/>
    <sheet name="CT OM Costs" sheetId="40" r:id="rId25"/>
    <sheet name="CC OM Costs" sheetId="67" r:id="rId26"/>
    <sheet name="BESS OM Costs" sheetId="41" r:id="rId27"/>
    <sheet name="Annual Property Tax Costs" sheetId="73" r:id="rId28"/>
    <sheet name="CT Capital Costs" sheetId="42" r:id="rId29"/>
    <sheet name="CC Capital Costs" sheetId="65" r:id="rId30"/>
    <sheet name="BESS Capital Costs" sheetId="43" r:id="rId31"/>
    <sheet name="Cumulative Inflation" sheetId="104" r:id="rId32"/>
    <sheet name="Data &gt;&gt;" sheetId="6" r:id="rId33"/>
    <sheet name="Brattle &gt;&gt;" sheetId="23" r:id="rId34"/>
    <sheet name="Working Cap and Tax Rates" sheetId="39" r:id="rId35"/>
    <sheet name="Land Cost" sheetId="51" r:id="rId36"/>
    <sheet name="Tax Depreciation" sheetId="11" r:id="rId37"/>
    <sheet name="Inflation Forecast" sheetId="21" r:id="rId38"/>
    <sheet name="BESS Augmentation Trend" sheetId="56" r:id="rId39"/>
    <sheet name="Property Tax Rates" sheetId="72" r:id="rId40"/>
    <sheet name="S&amp;L &gt;&gt;" sheetId="12" r:id="rId41"/>
    <sheet name="S&amp;L CC+CT - Cost Assumptions" sheetId="81" r:id="rId42"/>
    <sheet name="S&amp;L CC+CT - Capital Costs" sheetId="79" r:id="rId43"/>
    <sheet name="S&amp;L CC+CT - O&amp;M Costs" sheetId="80" r:id="rId44"/>
    <sheet name="S&amp;L BESS - Cost Assumptions" sheetId="76" r:id="rId45"/>
    <sheet name="S&amp;L BESS - Capital Costs" sheetId="77" r:id="rId46"/>
    <sheet name="S&amp;L BESS - O&amp;M Costs" sheetId="78" r:id="rId47"/>
    <sheet name="S&amp;L Augmentation Details" sheetId="102" r:id="rId48"/>
    <sheet name="S&amp;L Capital Drawdown Schedule" sheetId="30" r:id="rId49"/>
  </sheets>
  <externalReferences>
    <externalReference r:id="rId50"/>
  </externalReferences>
  <definedNames>
    <definedName name="_Order1" hidden="1">255</definedName>
    <definedName name="_Order2" hidden="1">255</definedName>
    <definedName name="_Reg_Out" localSheetId="6" hidden="1">#REF!</definedName>
    <definedName name="_Reg_Out" localSheetId="5" hidden="1">#REF!</definedName>
    <definedName name="_Reg_Out" localSheetId="47" hidden="1">#REF!</definedName>
    <definedName name="_Reg_Out" localSheetId="45" hidden="1">#REF!</definedName>
    <definedName name="_Reg_Out" localSheetId="44" hidden="1">#REF!</definedName>
    <definedName name="_Reg_Out" localSheetId="46" hidden="1">#REF!</definedName>
    <definedName name="_Reg_Out" hidden="1">#REF!</definedName>
    <definedName name="_Regression_Out" localSheetId="6" hidden="1">#REF!</definedName>
    <definedName name="_Regression_Out" localSheetId="5" hidden="1">#REF!</definedName>
    <definedName name="_Regression_Out" localSheetId="47" hidden="1">#REF!</definedName>
    <definedName name="_Regression_Out" localSheetId="45" hidden="1">#REF!</definedName>
    <definedName name="_Regression_Out" localSheetId="44" hidden="1">#REF!</definedName>
    <definedName name="_Regression_Out" localSheetId="46" hidden="1">#REF!</definedName>
    <definedName name="_Regression_Out" hidden="1">#REF!</definedName>
    <definedName name="a" localSheetId="6" hidden="1">{"Plat Summary",#N/A,FALSE,"PLAT DESIGN"}</definedName>
    <definedName name="a" localSheetId="5" hidden="1">{"Plat Summary",#N/A,FALSE,"PLAT DESIGN"}</definedName>
    <definedName name="a" localSheetId="2" hidden="1">{"Plat Summary",#N/A,FALSE,"PLAT DESIGN"}</definedName>
    <definedName name="a" localSheetId="47" hidden="1">{"Plat Summary",#N/A,FALSE,"PLAT DESIGN"}</definedName>
    <definedName name="a" localSheetId="45" hidden="1">{"Plat Summary",#N/A,FALSE,"PLAT DESIGN"}</definedName>
    <definedName name="a" localSheetId="44" hidden="1">{"Plat Summary",#N/A,FALSE,"PLAT DESIGN"}</definedName>
    <definedName name="a" localSheetId="46" hidden="1">{"Plat Summary",#N/A,FALSE,"PLAT DESIGN"}</definedName>
    <definedName name="a" hidden="1">{"Plat Summary",#N/A,FALSE,"PLAT DESIGN"}</definedName>
    <definedName name="AccessDatabase" hidden="1">"D:\TU\Data.mdb"</definedName>
    <definedName name="ANNUITY" localSheetId="6">#REF!</definedName>
    <definedName name="ANNUITY" localSheetId="5">#REF!</definedName>
    <definedName name="ANNUITY" localSheetId="47">#REF!</definedName>
    <definedName name="ANNUITY" localSheetId="45">#REF!</definedName>
    <definedName name="ANNUITY" localSheetId="44">#REF!</definedName>
    <definedName name="ANNUITY" localSheetId="46">#REF!</definedName>
    <definedName name="ANNUITY" localSheetId="42">#REF!</definedName>
    <definedName name="ANNUITY" localSheetId="41">#REF!</definedName>
    <definedName name="ANNUITY" localSheetId="43">#REF!</definedName>
    <definedName name="ANNUITY">#REF!</definedName>
    <definedName name="ANNUITY1" localSheetId="6">#REF!</definedName>
    <definedName name="ANNUITY1" localSheetId="5">#REF!</definedName>
    <definedName name="ANNUITY1" localSheetId="47">#REF!</definedName>
    <definedName name="ANNUITY1" localSheetId="45">#REF!</definedName>
    <definedName name="ANNUITY1" localSheetId="44">#REF!</definedName>
    <definedName name="ANNUITY1" localSheetId="46">#REF!</definedName>
    <definedName name="ANNUITY1">#REF!</definedName>
    <definedName name="anscount" hidden="1">13</definedName>
    <definedName name="areas" localSheetId="6">#REF!</definedName>
    <definedName name="areas" localSheetId="5">#REF!</definedName>
    <definedName name="areas" localSheetId="47">#REF!</definedName>
    <definedName name="areas" localSheetId="45">#REF!</definedName>
    <definedName name="areas" localSheetId="44">#REF!</definedName>
    <definedName name="areas" localSheetId="46">#REF!</definedName>
    <definedName name="areas" localSheetId="42">#REF!</definedName>
    <definedName name="areas" localSheetId="41">#REF!</definedName>
    <definedName name="areas" localSheetId="43">#REF!</definedName>
    <definedName name="areas">#REF!</definedName>
    <definedName name="asdb" localSheetId="6">#REF!</definedName>
    <definedName name="asdb" localSheetId="5">#REF!</definedName>
    <definedName name="asdb" localSheetId="47">#REF!</definedName>
    <definedName name="asdb" localSheetId="45">#REF!</definedName>
    <definedName name="asdb" localSheetId="44">#REF!</definedName>
    <definedName name="asdb" localSheetId="46">#REF!</definedName>
    <definedName name="asdb">#REF!</definedName>
    <definedName name="ATWACC" localSheetId="6">#REF!</definedName>
    <definedName name="ATWACC" localSheetId="5">#REF!</definedName>
    <definedName name="ATWACC" localSheetId="47">#REF!</definedName>
    <definedName name="ATWACC" localSheetId="45">#REF!</definedName>
    <definedName name="ATWACC" localSheetId="44">#REF!</definedName>
    <definedName name="ATWACC" localSheetId="46">#REF!</definedName>
    <definedName name="ATWACC" localSheetId="42">#REF!</definedName>
    <definedName name="ATWACC" localSheetId="41">#REF!</definedName>
    <definedName name="ATWACC" localSheetId="43">#REF!</definedName>
    <definedName name="ATWACC">#REF!</definedName>
    <definedName name="b" localSheetId="6" hidden="1">{"Plat Summary",#N/A,FALSE,"PLAT DESIGN"}</definedName>
    <definedName name="b" localSheetId="5" hidden="1">{"Plat Summary",#N/A,FALSE,"PLAT DESIGN"}</definedName>
    <definedName name="b" localSheetId="2" hidden="1">{"Plat Summary",#N/A,FALSE,"PLAT DESIGN"}</definedName>
    <definedName name="b" localSheetId="47" hidden="1">{"Plat Summary",#N/A,FALSE,"PLAT DESIGN"}</definedName>
    <definedName name="b" localSheetId="45" hidden="1">{"Plat Summary",#N/A,FALSE,"PLAT DESIGN"}</definedName>
    <definedName name="b" localSheetId="44" hidden="1">{"Plat Summary",#N/A,FALSE,"PLAT DESIGN"}</definedName>
    <definedName name="b" localSheetId="46" hidden="1">{"Plat Summary",#N/A,FALSE,"PLAT DESIGN"}</definedName>
    <definedName name="b" hidden="1">{"Plat Summary",#N/A,FALSE,"PLAT DESIGN"}</definedName>
    <definedName name="Base_Year" localSheetId="6">#REF!</definedName>
    <definedName name="Base_Year" localSheetId="5">#REF!</definedName>
    <definedName name="Base_Year" localSheetId="47">#REF!</definedName>
    <definedName name="Base_Year" localSheetId="45">#REF!</definedName>
    <definedName name="Base_Year" localSheetId="44">#REF!</definedName>
    <definedName name="Base_Year" localSheetId="46">#REF!</definedName>
    <definedName name="Base_Year">#REF!</definedName>
    <definedName name="BM_Dry_Bridge" localSheetId="6">#REF!</definedName>
    <definedName name="BM_Dry_Bridge" localSheetId="5">#REF!</definedName>
    <definedName name="BM_Dry_Bridge" localSheetId="47">#REF!</definedName>
    <definedName name="BM_Dry_Bridge" localSheetId="45">#REF!</definedName>
    <definedName name="BM_Dry_Bridge" localSheetId="44">#REF!</definedName>
    <definedName name="BM_Dry_Bridge" localSheetId="46">#REF!</definedName>
    <definedName name="BM_Dry_Bridge">#REF!</definedName>
    <definedName name="BM_Nursery_Lane" localSheetId="6">#REF!</definedName>
    <definedName name="BM_Nursery_Lane" localSheetId="5">#REF!</definedName>
    <definedName name="BM_Nursery_Lane" localSheetId="47">#REF!</definedName>
    <definedName name="BM_Nursery_Lane" localSheetId="45">#REF!</definedName>
    <definedName name="BM_Nursery_Lane" localSheetId="44">#REF!</definedName>
    <definedName name="BM_Nursery_Lane" localSheetId="46">#REF!</definedName>
    <definedName name="BM_Nursery_Lane">#REF!</definedName>
    <definedName name="BM_Shands" localSheetId="6">#REF!</definedName>
    <definedName name="BM_Shands" localSheetId="5">#REF!</definedName>
    <definedName name="BM_Shands" localSheetId="45">#REF!</definedName>
    <definedName name="BM_Shands" localSheetId="44">#REF!</definedName>
    <definedName name="BM_Shands" localSheetId="46">#REF!</definedName>
    <definedName name="BM_Shands">#REF!</definedName>
    <definedName name="cap" localSheetId="6">#REF!</definedName>
    <definedName name="cap" localSheetId="5">#REF!</definedName>
    <definedName name="cap" localSheetId="45">#REF!</definedName>
    <definedName name="cap" localSheetId="44">#REF!</definedName>
    <definedName name="cap" localSheetId="46">#REF!</definedName>
    <definedName name="cap">#REF!</definedName>
    <definedName name="Capacity_Factor" localSheetId="6">#REF!</definedName>
    <definedName name="Capacity_Factor" localSheetId="5">#REF!</definedName>
    <definedName name="Capacity_Factor" localSheetId="45">#REF!</definedName>
    <definedName name="Capacity_Factor" localSheetId="44">#REF!</definedName>
    <definedName name="Capacity_Factor" localSheetId="46">#REF!</definedName>
    <definedName name="Capacity_Factor" localSheetId="42">#REF!</definedName>
    <definedName name="Capacity_Factor" localSheetId="41">#REF!</definedName>
    <definedName name="Capacity_Factor" localSheetId="43">#REF!</definedName>
    <definedName name="Capacity_Factor">#REF!</definedName>
    <definedName name="Case" localSheetId="6">#REF!</definedName>
    <definedName name="Case" localSheetId="5">#REF!</definedName>
    <definedName name="Case" localSheetId="45">#REF!</definedName>
    <definedName name="Case" localSheetId="44">#REF!</definedName>
    <definedName name="Case" localSheetId="46">#REF!</definedName>
    <definedName name="Case" localSheetId="42">#REF!</definedName>
    <definedName name="Case" localSheetId="41">#REF!</definedName>
    <definedName name="Case" localSheetId="43">#REF!</definedName>
    <definedName name="Case">#REF!</definedName>
    <definedName name="Case1" localSheetId="6">#REF!</definedName>
    <definedName name="Case1" localSheetId="5">#REF!</definedName>
    <definedName name="Case1" localSheetId="45">#REF!</definedName>
    <definedName name="Case1" localSheetId="44">#REF!</definedName>
    <definedName name="Case1" localSheetId="46">#REF!</definedName>
    <definedName name="Case1" localSheetId="41">#REF!</definedName>
    <definedName name="Case1" localSheetId="43">#REF!</definedName>
    <definedName name="Case1">#REF!</definedName>
    <definedName name="CBWorkbookPriority" hidden="1">-863272131</definedName>
    <definedName name="CF" localSheetId="6">#REF!</definedName>
    <definedName name="CF" localSheetId="5">#REF!</definedName>
    <definedName name="CF" localSheetId="47">#REF!</definedName>
    <definedName name="CF" localSheetId="45">#REF!</definedName>
    <definedName name="CF" localSheetId="44">#REF!</definedName>
    <definedName name="CF" localSheetId="46">#REF!</definedName>
    <definedName name="CF" localSheetId="41">#REF!</definedName>
    <definedName name="CF" localSheetId="43">#REF!</definedName>
    <definedName name="CF">#REF!</definedName>
    <definedName name="CIQWBGuid" hidden="1">"6df3e850-8dab-470e-b8f1-07d8a1fa8102"</definedName>
    <definedName name="City_Tax" localSheetId="6">#REF!</definedName>
    <definedName name="City_Tax" localSheetId="5">#REF!</definedName>
    <definedName name="City_Tax" localSheetId="47">#REF!</definedName>
    <definedName name="City_Tax" localSheetId="45">#REF!</definedName>
    <definedName name="City_Tax" localSheetId="44">#REF!</definedName>
    <definedName name="City_Tax" localSheetId="46">#REF!</definedName>
    <definedName name="City_Tax" localSheetId="41">#REF!</definedName>
    <definedName name="City_Tax" localSheetId="43">#REF!</definedName>
    <definedName name="City_Tax">#REF!</definedName>
    <definedName name="City_Tax1" localSheetId="6">#REF!</definedName>
    <definedName name="City_Tax1" localSheetId="5">#REF!</definedName>
    <definedName name="City_Tax1" localSheetId="47">#REF!</definedName>
    <definedName name="City_Tax1" localSheetId="45">#REF!</definedName>
    <definedName name="City_Tax1" localSheetId="44">#REF!</definedName>
    <definedName name="City_Tax1" localSheetId="46">#REF!</definedName>
    <definedName name="City_Tax1">#REF!</definedName>
    <definedName name="CL" localSheetId="6">SUMIF(#REF!,"CL",#REF!)</definedName>
    <definedName name="CL" localSheetId="5">SUMIF(#REF!,"CL",#REF!)</definedName>
    <definedName name="CL" localSheetId="47">SUMIF(#REF!,"CL",#REF!)</definedName>
    <definedName name="CL" localSheetId="45">SUMIF(#REF!,"CL",#REF!)</definedName>
    <definedName name="CL" localSheetId="44">SUMIF(#REF!,"CL",#REF!)</definedName>
    <definedName name="CL" localSheetId="46">SUMIF(#REF!,"CL",#REF!)</definedName>
    <definedName name="CL" localSheetId="42">SUMIF(#REF!,"CL",#REF!)</definedName>
    <definedName name="CL" localSheetId="41">SUMIF(#REF!,"CL",#REF!)</definedName>
    <definedName name="CL" localSheetId="43">SUMIF(#REF!,"CL",#REF!)</definedName>
    <definedName name="CL">SUMIF(#REF!,"CL",#REF!)</definedName>
    <definedName name="COD" localSheetId="6">#REF!</definedName>
    <definedName name="COD" localSheetId="5">#REF!</definedName>
    <definedName name="COD" localSheetId="47">#REF!</definedName>
    <definedName name="COD" localSheetId="45">#REF!</definedName>
    <definedName name="COD" localSheetId="44">#REF!</definedName>
    <definedName name="COD" localSheetId="46">#REF!</definedName>
    <definedName name="COD" localSheetId="41">#REF!</definedName>
    <definedName name="COD" localSheetId="43">#REF!</definedName>
    <definedName name="COD">#REF!</definedName>
    <definedName name="COD_1" localSheetId="6">#REF!</definedName>
    <definedName name="COD_1" localSheetId="5">#REF!</definedName>
    <definedName name="COD_1" localSheetId="45">#REF!</definedName>
    <definedName name="COD_1" localSheetId="44">#REF!</definedName>
    <definedName name="COD_1" localSheetId="46">#REF!</definedName>
    <definedName name="COD_1">#REF!</definedName>
    <definedName name="CONS" localSheetId="6">SUMIF(#REF!,"CONS",#REF!)</definedName>
    <definedName name="CONS" localSheetId="5">SUMIF(#REF!,"CONS",#REF!)</definedName>
    <definedName name="CONS" localSheetId="47">SUMIF(#REF!,"CONS",#REF!)</definedName>
    <definedName name="CONS" localSheetId="45">SUMIF(#REF!,"CONS",#REF!)</definedName>
    <definedName name="CONS" localSheetId="44">SUMIF(#REF!,"CONS",#REF!)</definedName>
    <definedName name="CONS" localSheetId="46">SUMIF(#REF!,"CONS",#REF!)</definedName>
    <definedName name="CONS" localSheetId="42">SUMIF(#REF!,"CONS",#REF!)</definedName>
    <definedName name="CONS" localSheetId="41">SUMIF(#REF!,"CONS",#REF!)</definedName>
    <definedName name="CONS" localSheetId="43">SUMIF(#REF!,"CONS",#REF!)</definedName>
    <definedName name="CONS">SUMIF(#REF!,"CONS",#REF!)</definedName>
    <definedName name="costofdebt" localSheetId="6">#REF!</definedName>
    <definedName name="costofdebt" localSheetId="5">#REF!</definedName>
    <definedName name="costofdebt" localSheetId="45">#REF!</definedName>
    <definedName name="costofdebt" localSheetId="44">#REF!</definedName>
    <definedName name="costofdebt" localSheetId="46">#REF!</definedName>
    <definedName name="costofdebt" localSheetId="41">#REF!</definedName>
    <definedName name="costofdebt" localSheetId="43">#REF!</definedName>
    <definedName name="costofdebt">#REF!</definedName>
    <definedName name="costofdebt_ee" localSheetId="6">#REF!</definedName>
    <definedName name="costofdebt_ee" localSheetId="5">#REF!</definedName>
    <definedName name="costofdebt_ee" localSheetId="45">#REF!</definedName>
    <definedName name="costofdebt_ee" localSheetId="44">#REF!</definedName>
    <definedName name="costofdebt_ee" localSheetId="46">#REF!</definedName>
    <definedName name="costofdebt_ee" localSheetId="41">#REF!</definedName>
    <definedName name="costofdebt_ee" localSheetId="43">#REF!</definedName>
    <definedName name="costofdebt_ee">#REF!</definedName>
    <definedName name="CP" localSheetId="6">#REF!</definedName>
    <definedName name="CP" localSheetId="5">#REF!</definedName>
    <definedName name="CP" localSheetId="45">#REF!</definedName>
    <definedName name="CP" localSheetId="44">#REF!</definedName>
    <definedName name="CP" localSheetId="46">#REF!</definedName>
    <definedName name="CP" localSheetId="41">#REF!</definedName>
    <definedName name="CP" localSheetId="43">#REF!</definedName>
    <definedName name="CP">#REF!</definedName>
    <definedName name="cpi" localSheetId="6">#REF!</definedName>
    <definedName name="cpi" localSheetId="5">#REF!</definedName>
    <definedName name="cpi" localSheetId="45">#REF!</definedName>
    <definedName name="cpi" localSheetId="44">#REF!</definedName>
    <definedName name="cpi" localSheetId="46">#REF!</definedName>
    <definedName name="cpi" localSheetId="41">#REF!</definedName>
    <definedName name="cpi" localSheetId="43">#REF!</definedName>
    <definedName name="cpi">#REF!</definedName>
    <definedName name="customer_invest" localSheetId="6">#REF!</definedName>
    <definedName name="customer_invest" localSheetId="5">#REF!</definedName>
    <definedName name="customer_invest" localSheetId="45">#REF!</definedName>
    <definedName name="customer_invest" localSheetId="44">#REF!</definedName>
    <definedName name="customer_invest" localSheetId="46">#REF!</definedName>
    <definedName name="customer_invest">#REF!</definedName>
    <definedName name="custr" localSheetId="6">#REF!</definedName>
    <definedName name="custr" localSheetId="5">#REF!</definedName>
    <definedName name="custr" localSheetId="45">#REF!</definedName>
    <definedName name="custr" localSheetId="44">#REF!</definedName>
    <definedName name="custr" localSheetId="46">#REF!</definedName>
    <definedName name="custr" localSheetId="42">#REF!</definedName>
    <definedName name="custr" localSheetId="41">#REF!</definedName>
    <definedName name="custr" localSheetId="43">#REF!</definedName>
    <definedName name="custr">#REF!</definedName>
    <definedName name="custr_IN_OUT" localSheetId="6">#REF!</definedName>
    <definedName name="custr_IN_OUT" localSheetId="5">#REF!</definedName>
    <definedName name="custr_IN_OUT" localSheetId="45">#REF!</definedName>
    <definedName name="custr_IN_OUT" localSheetId="44">#REF!</definedName>
    <definedName name="custr_IN_OUT" localSheetId="46">#REF!</definedName>
    <definedName name="custr_IN_OUT" localSheetId="41">#REF!</definedName>
    <definedName name="custr_IN_OUT" localSheetId="43">#REF!</definedName>
    <definedName name="custr_IN_OUT">#REF!</definedName>
    <definedName name="Debt_Frac" localSheetId="6">#REF!</definedName>
    <definedName name="Debt_Frac" localSheetId="5">#REF!</definedName>
    <definedName name="Debt_Frac" localSheetId="45">#REF!</definedName>
    <definedName name="Debt_Frac" localSheetId="44">#REF!</definedName>
    <definedName name="Debt_Frac" localSheetId="46">#REF!</definedName>
    <definedName name="Debt_Frac" localSheetId="41">#REF!</definedName>
    <definedName name="Debt_Frac" localSheetId="43">#REF!</definedName>
    <definedName name="Debt_Frac">#REF!</definedName>
    <definedName name="Debt_Frac1" localSheetId="6">#REF!</definedName>
    <definedName name="Debt_Frac1" localSheetId="5">#REF!</definedName>
    <definedName name="Debt_Frac1" localSheetId="45">#REF!</definedName>
    <definedName name="Debt_Frac1" localSheetId="44">#REF!</definedName>
    <definedName name="Debt_Frac1" localSheetId="46">#REF!</definedName>
    <definedName name="Debt_Frac1">#REF!</definedName>
    <definedName name="debtratio" localSheetId="6">#REF!</definedName>
    <definedName name="debtratio" localSheetId="5">#REF!</definedName>
    <definedName name="debtratio" localSheetId="45">#REF!</definedName>
    <definedName name="debtratio" localSheetId="44">#REF!</definedName>
    <definedName name="debtratio" localSheetId="46">#REF!</definedName>
    <definedName name="debtratio" localSheetId="41">#REF!</definedName>
    <definedName name="debtratio" localSheetId="43">#REF!</definedName>
    <definedName name="debtratio">#REF!</definedName>
    <definedName name="debtratio_ee" localSheetId="6">#REF!</definedName>
    <definedName name="debtratio_ee" localSheetId="5">#REF!</definedName>
    <definedName name="debtratio_ee" localSheetId="45">#REF!</definedName>
    <definedName name="debtratio_ee" localSheetId="44">#REF!</definedName>
    <definedName name="debtratio_ee" localSheetId="46">#REF!</definedName>
    <definedName name="debtratio_ee" localSheetId="41">#REF!</definedName>
    <definedName name="debtratio_ee" localSheetId="43">#REF!</definedName>
    <definedName name="debtratio_ee">#REF!</definedName>
    <definedName name="Dep_Cost" localSheetId="6">#REF!</definedName>
    <definedName name="Dep_Cost" localSheetId="5">#REF!</definedName>
    <definedName name="Dep_Cost" localSheetId="45">#REF!</definedName>
    <definedName name="Dep_Cost" localSheetId="44">#REF!</definedName>
    <definedName name="Dep_Cost" localSheetId="46">#REF!</definedName>
    <definedName name="Dep_Cost" localSheetId="41">#REF!</definedName>
    <definedName name="Dep_Cost" localSheetId="43">#REF!</definedName>
    <definedName name="Dep_Cost">#REF!</definedName>
    <definedName name="Depreciable_Cost" localSheetId="6">#REF!</definedName>
    <definedName name="Depreciable_Cost" localSheetId="5">#REF!</definedName>
    <definedName name="Depreciable_Cost" localSheetId="45">#REF!</definedName>
    <definedName name="Depreciable_Cost" localSheetId="44">#REF!</definedName>
    <definedName name="Depreciable_Cost" localSheetId="46">#REF!</definedName>
    <definedName name="Depreciable_Cost" localSheetId="41">#REF!</definedName>
    <definedName name="Depreciable_Cost" localSheetId="43">#REF!</definedName>
    <definedName name="Depreciable_Cost">#REF!</definedName>
    <definedName name="DR_Hours" localSheetId="6">#REF!</definedName>
    <definedName name="DR_Hours" localSheetId="5">#REF!</definedName>
    <definedName name="DR_Hours" localSheetId="45">#REF!</definedName>
    <definedName name="DR_Hours" localSheetId="44">#REF!</definedName>
    <definedName name="DR_Hours" localSheetId="46">#REF!</definedName>
    <definedName name="DR_Hours">#REF!</definedName>
    <definedName name="DR_Hours_Result" localSheetId="6">#REF!</definedName>
    <definedName name="DR_Hours_Result" localSheetId="5">#REF!</definedName>
    <definedName name="DR_Hours_Result" localSheetId="45">#REF!</definedName>
    <definedName name="DR_Hours_Result" localSheetId="44">#REF!</definedName>
    <definedName name="DR_Hours_Result" localSheetId="46">#REF!</definedName>
    <definedName name="DR_Hours_Result">#REF!</definedName>
    <definedName name="DR_ONPEAK_HOURS" localSheetId="6">#REF!</definedName>
    <definedName name="DR_ONPEAK_HOURS" localSheetId="5">#REF!</definedName>
    <definedName name="DR_ONPEAK_HOURS" localSheetId="45">#REF!</definedName>
    <definedName name="DR_ONPEAK_HOURS" localSheetId="44">#REF!</definedName>
    <definedName name="DR_ONPEAK_HOURS" localSheetId="46">#REF!</definedName>
    <definedName name="DR_ONPEAK_HOURS">#REF!</definedName>
    <definedName name="E" localSheetId="6">SUMIF(#REF!,"E",#REF!)</definedName>
    <definedName name="E" localSheetId="5">SUMIF(#REF!,"E",#REF!)</definedName>
    <definedName name="E" localSheetId="47">SUMIF(#REF!,"E",#REF!)</definedName>
    <definedName name="E" localSheetId="45">SUMIF(#REF!,"E",#REF!)</definedName>
    <definedName name="E" localSheetId="44">SUMIF(#REF!,"E",#REF!)</definedName>
    <definedName name="E" localSheetId="46">SUMIF(#REF!,"E",#REF!)</definedName>
    <definedName name="E" localSheetId="42">SUMIF(#REF!,"E",#REF!)</definedName>
    <definedName name="E" localSheetId="41">SUMIF(#REF!,"E",#REF!)</definedName>
    <definedName name="E" localSheetId="43">SUMIF(#REF!,"E",#REF!)</definedName>
    <definedName name="E">SUMIF(#REF!,"E",#REF!)</definedName>
    <definedName name="E_P" localSheetId="6">#REF!</definedName>
    <definedName name="E_P" localSheetId="5">#REF!</definedName>
    <definedName name="E_P" localSheetId="45">#REF!</definedName>
    <definedName name="E_P" localSheetId="44">#REF!</definedName>
    <definedName name="E_P" localSheetId="46">#REF!</definedName>
    <definedName name="E_P" localSheetId="41">#REF!</definedName>
    <definedName name="E_P" localSheetId="43">#REF!</definedName>
    <definedName name="E_P">#REF!</definedName>
    <definedName name="EAS" localSheetId="6">#REF!</definedName>
    <definedName name="EAS" localSheetId="5">#REF!</definedName>
    <definedName name="EAS" localSheetId="45">#REF!</definedName>
    <definedName name="EAS" localSheetId="44">#REF!</definedName>
    <definedName name="EAS" localSheetId="46">#REF!</definedName>
    <definedName name="EAS" localSheetId="42">#REF!</definedName>
    <definedName name="EAS" localSheetId="41">#REF!</definedName>
    <definedName name="EAS" localSheetId="43">#REF!</definedName>
    <definedName name="EAS">#REF!</definedName>
    <definedName name="EAS_Margin" localSheetId="6">#REF!</definedName>
    <definedName name="EAS_Margin" localSheetId="5">#REF!</definedName>
    <definedName name="EAS_Margin" localSheetId="45">#REF!</definedName>
    <definedName name="EAS_Margin" localSheetId="44">#REF!</definedName>
    <definedName name="EAS_Margin" localSheetId="46">#REF!</definedName>
    <definedName name="EAS_Margin" localSheetId="42">#REF!</definedName>
    <definedName name="EAS_Margin">#REF!</definedName>
    <definedName name="EE" localSheetId="6">SUMIF(#REF!,"E",#REF!)</definedName>
    <definedName name="EE" localSheetId="5">SUMIF(#REF!,"E",#REF!)</definedName>
    <definedName name="EE" localSheetId="47">SUMIF(#REF!,"E",#REF!)</definedName>
    <definedName name="EE" localSheetId="45">SUMIF(#REF!,"E",#REF!)</definedName>
    <definedName name="EE" localSheetId="44">SUMIF(#REF!,"E",#REF!)</definedName>
    <definedName name="EE" localSheetId="46">SUMIF(#REF!,"E",#REF!)</definedName>
    <definedName name="EE" localSheetId="42">SUMIF(#REF!,"E",#REF!)</definedName>
    <definedName name="EE" localSheetId="41">SUMIF(#REF!,"E",#REF!)</definedName>
    <definedName name="EE" localSheetId="43">SUMIF(#REF!,"E",#REF!)</definedName>
    <definedName name="EE">SUMIF(#REF!,"E",#REF!)</definedName>
    <definedName name="EEE" localSheetId="6">SUMIF(#REF!,"E",#REF!)</definedName>
    <definedName name="EEE" localSheetId="5">SUMIF(#REF!,"E",#REF!)</definedName>
    <definedName name="EEE" localSheetId="47">SUMIF(#REF!,"E",#REF!)</definedName>
    <definedName name="EEE" localSheetId="45">SUMIF(#REF!,"E",#REF!)</definedName>
    <definedName name="EEE" localSheetId="44">SUMIF(#REF!,"E",#REF!)</definedName>
    <definedName name="EEE" localSheetId="46">SUMIF(#REF!,"E",#REF!)</definedName>
    <definedName name="EEE" localSheetId="42">SUMIF(#REF!,"E",#REF!)</definedName>
    <definedName name="EEE" localSheetId="41">SUMIF(#REF!,"E",#REF!)</definedName>
    <definedName name="EEE" localSheetId="43">SUMIF(#REF!,"E",#REF!)</definedName>
    <definedName name="EEE">SUMIF(#REF!,"E",#REF!)</definedName>
    <definedName name="efftaxrate_ee" localSheetId="6">#REF!</definedName>
    <definedName name="efftaxrate_ee" localSheetId="5">#REF!</definedName>
    <definedName name="efftaxrate_ee" localSheetId="45">#REF!</definedName>
    <definedName name="efftaxrate_ee" localSheetId="44">#REF!</definedName>
    <definedName name="efftaxrate_ee" localSheetId="46">#REF!</definedName>
    <definedName name="efftaxrate_ee" localSheetId="41">#REF!</definedName>
    <definedName name="efftaxrate_ee" localSheetId="43">#REF!</definedName>
    <definedName name="efftaxrate_ee">#REF!</definedName>
    <definedName name="entity" localSheetId="6">#REF!</definedName>
    <definedName name="entity" localSheetId="5">#REF!</definedName>
    <definedName name="entity" localSheetId="45">#REF!</definedName>
    <definedName name="entity" localSheetId="44">#REF!</definedName>
    <definedName name="entity" localSheetId="46">#REF!</definedName>
    <definedName name="entity">#REF!</definedName>
    <definedName name="EP" localSheetId="6">#REF!</definedName>
    <definedName name="EP" localSheetId="5">#REF!</definedName>
    <definedName name="EP" localSheetId="45">#REF!</definedName>
    <definedName name="EP" localSheetId="44">#REF!</definedName>
    <definedName name="EP" localSheetId="46">#REF!</definedName>
    <definedName name="EP" localSheetId="42">#REF!</definedName>
    <definedName name="EP" localSheetId="41">#REF!</definedName>
    <definedName name="EP" localSheetId="43">#REF!</definedName>
    <definedName name="EP">#REF!</definedName>
    <definedName name="EQ_Frac" localSheetId="6">#REF!</definedName>
    <definedName name="EQ_Frac" localSheetId="5">#REF!</definedName>
    <definedName name="EQ_Frac" localSheetId="45">#REF!</definedName>
    <definedName name="EQ_Frac" localSheetId="44">#REF!</definedName>
    <definedName name="EQ_Frac" localSheetId="46">#REF!</definedName>
    <definedName name="EQ_Frac" localSheetId="42">#REF!</definedName>
    <definedName name="EQ_Frac" localSheetId="41">#REF!</definedName>
    <definedName name="EQ_Frac" localSheetId="43">#REF!</definedName>
    <definedName name="EQ_Frac">#REF!</definedName>
    <definedName name="Equity_Period" localSheetId="6">#REF!</definedName>
    <definedName name="Equity_Period" localSheetId="5">#REF!</definedName>
    <definedName name="Equity_Period" localSheetId="45">#REF!</definedName>
    <definedName name="Equity_Period" localSheetId="44">#REF!</definedName>
    <definedName name="Equity_Period" localSheetId="46">#REF!</definedName>
    <definedName name="Equity_Period" localSheetId="41">#REF!</definedName>
    <definedName name="Equity_Period" localSheetId="43">#REF!</definedName>
    <definedName name="Equity_Period">#REF!</definedName>
    <definedName name="Escalation_Rate" localSheetId="6">#REF!</definedName>
    <definedName name="Escalation_Rate" localSheetId="5">#REF!</definedName>
    <definedName name="Escalation_Rate" localSheetId="45">#REF!</definedName>
    <definedName name="Escalation_Rate" localSheetId="44">#REF!</definedName>
    <definedName name="Escalation_Rate" localSheetId="46">#REF!</definedName>
    <definedName name="Escalation_Rate" localSheetId="42">#REF!</definedName>
    <definedName name="Escalation_Rate" localSheetId="41">#REF!</definedName>
    <definedName name="Escalation_Rate" localSheetId="43">#REF!</definedName>
    <definedName name="Escalation_Rate">#REF!</definedName>
    <definedName name="Eval_Period" localSheetId="6">#REF!</definedName>
    <definedName name="Eval_Period" localSheetId="5">#REF!</definedName>
    <definedName name="Eval_Period" localSheetId="45">#REF!</definedName>
    <definedName name="Eval_Period" localSheetId="44">#REF!</definedName>
    <definedName name="Eval_Period" localSheetId="46">#REF!</definedName>
    <definedName name="Eval_Period" localSheetId="42">#REF!</definedName>
    <definedName name="Eval_Period" localSheetId="41">#REF!</definedName>
    <definedName name="Eval_Period" localSheetId="43">#REF!</definedName>
    <definedName name="Eval_Period">#REF!</definedName>
    <definedName name="EvalPeriod" localSheetId="6">#REF!</definedName>
    <definedName name="EvalPeriod" localSheetId="5">#REF!</definedName>
    <definedName name="EvalPeriod" localSheetId="45">#REF!</definedName>
    <definedName name="EvalPeriod" localSheetId="44">#REF!</definedName>
    <definedName name="EvalPeriod" localSheetId="46">#REF!</definedName>
    <definedName name="EvalPeriod" localSheetId="41">#REF!</definedName>
    <definedName name="EvalPeriod" localSheetId="43">#REF!</definedName>
    <definedName name="EvalPeriod">#REF!</definedName>
    <definedName name="f" localSheetId="6">#REF!</definedName>
    <definedName name="f" localSheetId="5">#REF!</definedName>
    <definedName name="f" localSheetId="45">#REF!</definedName>
    <definedName name="f" localSheetId="44">#REF!</definedName>
    <definedName name="f" localSheetId="46">#REF!</definedName>
    <definedName name="f" localSheetId="41">#REF!</definedName>
    <definedName name="f" localSheetId="43">#REF!</definedName>
    <definedName name="f">#REF!</definedName>
    <definedName name="Fed_Tax" localSheetId="6">#REF!</definedName>
    <definedName name="Fed_Tax" localSheetId="5">#REF!</definedName>
    <definedName name="Fed_Tax" localSheetId="45">#REF!</definedName>
    <definedName name="Fed_Tax" localSheetId="44">#REF!</definedName>
    <definedName name="Fed_Tax" localSheetId="46">#REF!</definedName>
    <definedName name="Fed_Tax" localSheetId="41">#REF!</definedName>
    <definedName name="Fed_Tax" localSheetId="43">#REF!</definedName>
    <definedName name="Fed_Tax">#REF!</definedName>
    <definedName name="FF" localSheetId="6">SUMIF(#REF!,"FR",#REF!)</definedName>
    <definedName name="FF" localSheetId="5">SUMIF(#REF!,"FR",#REF!)</definedName>
    <definedName name="FF" localSheetId="47">SUMIF(#REF!,"FR",#REF!)</definedName>
    <definedName name="FF" localSheetId="45">SUMIF(#REF!,"FR",#REF!)</definedName>
    <definedName name="FF" localSheetId="44">SUMIF(#REF!,"FR",#REF!)</definedName>
    <definedName name="FF" localSheetId="46">SUMIF(#REF!,"FR",#REF!)</definedName>
    <definedName name="FF" localSheetId="42">SUMIF(#REF!,"FR",#REF!)</definedName>
    <definedName name="FF" localSheetId="41">SUMIF(#REF!,"FR",#REF!)</definedName>
    <definedName name="FF" localSheetId="43">SUMIF(#REF!,"FR",#REF!)</definedName>
    <definedName name="FF">SUMIF(#REF!,"FR",#REF!)</definedName>
    <definedName name="FFFF" localSheetId="6">SUMIF(#REF!,"FR",#REF!)</definedName>
    <definedName name="FFFF" localSheetId="5">SUMIF(#REF!,"FR",#REF!)</definedName>
    <definedName name="FFFF" localSheetId="47">SUMIF(#REF!,"FR",#REF!)</definedName>
    <definedName name="FFFF" localSheetId="45">SUMIF(#REF!,"FR",#REF!)</definedName>
    <definedName name="FFFF" localSheetId="44">SUMIF(#REF!,"FR",#REF!)</definedName>
    <definedName name="FFFF" localSheetId="46">SUMIF(#REF!,"FR",#REF!)</definedName>
    <definedName name="FFFF" localSheetId="42">SUMIF(#REF!,"FR",#REF!)</definedName>
    <definedName name="FFFF" localSheetId="41">SUMIF(#REF!,"FR",#REF!)</definedName>
    <definedName name="FFFF" localSheetId="43">SUMIF(#REF!,"FR",#REF!)</definedName>
    <definedName name="FFFF">SUMIF(#REF!,"FR",#REF!)</definedName>
    <definedName name="Fluence_Dry_Bridge" localSheetId="6">#REF!</definedName>
    <definedName name="Fluence_Dry_Bridge" localSheetId="5">#REF!</definedName>
    <definedName name="Fluence_Dry_Bridge" localSheetId="45">#REF!</definedName>
    <definedName name="Fluence_Dry_Bridge" localSheetId="44">#REF!</definedName>
    <definedName name="Fluence_Dry_Bridge" localSheetId="46">#REF!</definedName>
    <definedName name="Fluence_Dry_Bridge">#REF!</definedName>
    <definedName name="Fluence_Nursery_Lane" localSheetId="6">#REF!</definedName>
    <definedName name="Fluence_Nursery_Lane" localSheetId="5">#REF!</definedName>
    <definedName name="Fluence_Nursery_Lane" localSheetId="45">#REF!</definedName>
    <definedName name="Fluence_Nursery_Lane" localSheetId="44">#REF!</definedName>
    <definedName name="Fluence_Nursery_Lane" localSheetId="46">#REF!</definedName>
    <definedName name="Fluence_Nursery_Lane">#REF!</definedName>
    <definedName name="Fluence_Shands" localSheetId="6">#REF!</definedName>
    <definedName name="Fluence_Shands" localSheetId="5">#REF!</definedName>
    <definedName name="Fluence_Shands" localSheetId="45">#REF!</definedName>
    <definedName name="Fluence_Shands" localSheetId="44">#REF!</definedName>
    <definedName name="Fluence_Shands" localSheetId="46">#REF!</definedName>
    <definedName name="Fluence_Shands">#REF!</definedName>
    <definedName name="FR" localSheetId="6">SUMIF(#REF!,"FR",#REF!)</definedName>
    <definedName name="FR" localSheetId="5">SUMIF(#REF!,"FR",#REF!)</definedName>
    <definedName name="FR" localSheetId="47">SUMIF(#REF!,"FR",#REF!)</definedName>
    <definedName name="FR" localSheetId="45">SUMIF(#REF!,"FR",#REF!)</definedName>
    <definedName name="FR" localSheetId="44">SUMIF(#REF!,"FR",#REF!)</definedName>
    <definedName name="FR" localSheetId="46">SUMIF(#REF!,"FR",#REF!)</definedName>
    <definedName name="FR" localSheetId="42">SUMIF(#REF!,"FR",#REF!)</definedName>
    <definedName name="FR" localSheetId="41">SUMIF(#REF!,"FR",#REF!)</definedName>
    <definedName name="FR" localSheetId="43">SUMIF(#REF!,"FR",#REF!)</definedName>
    <definedName name="FR">SUMIF(#REF!,"FR",#REF!)</definedName>
    <definedName name="FRPerc">0.045</definedName>
    <definedName name="fuel" localSheetId="6">#REF!</definedName>
    <definedName name="fuel" localSheetId="5">#REF!</definedName>
    <definedName name="fuel" localSheetId="47">#REF!</definedName>
    <definedName name="fuel" localSheetId="45">#REF!</definedName>
    <definedName name="fuel" localSheetId="44">#REF!</definedName>
    <definedName name="fuel" localSheetId="46">#REF!</definedName>
    <definedName name="fuel" localSheetId="42">#REF!</definedName>
    <definedName name="fuel" localSheetId="41">#REF!</definedName>
    <definedName name="fuel" localSheetId="43">#REF!</definedName>
    <definedName name="fuel">#REF!</definedName>
    <definedName name="Fuel1" localSheetId="6">#REF!</definedName>
    <definedName name="Fuel1" localSheetId="5">#REF!</definedName>
    <definedName name="Fuel1" localSheetId="47">#REF!</definedName>
    <definedName name="Fuel1" localSheetId="45">#REF!</definedName>
    <definedName name="Fuel1" localSheetId="44">#REF!</definedName>
    <definedName name="Fuel1" localSheetId="46">#REF!</definedName>
    <definedName name="Fuel1" localSheetId="42">#REF!</definedName>
    <definedName name="Fuel1" localSheetId="41">#REF!</definedName>
    <definedName name="Fuel1" localSheetId="43">#REF!</definedName>
    <definedName name="Fuel1">#REF!</definedName>
    <definedName name="generationinputsheet" localSheetId="6">#REF!</definedName>
    <definedName name="generationinputsheet" localSheetId="5">#REF!</definedName>
    <definedName name="generationinputsheet" localSheetId="47">#REF!</definedName>
    <definedName name="generationinputsheet" localSheetId="45">#REF!</definedName>
    <definedName name="generationinputsheet" localSheetId="44">#REF!</definedName>
    <definedName name="generationinputsheet" localSheetId="46">#REF!</definedName>
    <definedName name="generationinputsheet" localSheetId="41">#REF!</definedName>
    <definedName name="generationinputsheet" localSheetId="43">#REF!</definedName>
    <definedName name="generationinputsheet">#REF!</definedName>
    <definedName name="HTML_CodePage" hidden="1">1252</definedName>
    <definedName name="HTML_Control" localSheetId="6" hidden="1">{"'Sheet1'!$A$1:$R$155"}</definedName>
    <definedName name="HTML_Control" localSheetId="5" hidden="1">{"'Sheet1'!$A$1:$R$155"}</definedName>
    <definedName name="HTML_Control" localSheetId="2" hidden="1">{"'Sheet1'!$A$1:$R$155"}</definedName>
    <definedName name="HTML_Control" localSheetId="47" hidden="1">{"'Sheet1'!$A$1:$R$155"}</definedName>
    <definedName name="HTML_Control" localSheetId="45" hidden="1">{"'Sheet1'!$A$1:$R$155"}</definedName>
    <definedName name="HTML_Control" localSheetId="44" hidden="1">{"'Sheet1'!$A$1:$R$155"}</definedName>
    <definedName name="HTML_Control" localSheetId="46" hidden="1">{"'Sheet1'!$A$1:$R$155"}</definedName>
    <definedName name="HTML_Control" localSheetId="42" hidden="1">{"'Sheet1'!$A$1:$R$155"}</definedName>
    <definedName name="HTML_Control" localSheetId="41" hidden="1">{"'Sheet1'!$A$1:$R$155"}</definedName>
    <definedName name="HTML_Control" localSheetId="43" hidden="1">{"'Sheet1'!$A$1:$R$155"}</definedName>
    <definedName name="HTML_Control" hidden="1">{"'Sheet1'!$A$1:$R$155"}</definedName>
    <definedName name="HTML_Control_Ori" localSheetId="6" hidden="1">{"'Sheet1'!$A$14:$K$113"}</definedName>
    <definedName name="HTML_Control_Ori" localSheetId="5" hidden="1">{"'Sheet1'!$A$14:$K$113"}</definedName>
    <definedName name="HTML_Control_Ori" localSheetId="2" hidden="1">{"'Sheet1'!$A$14:$K$113"}</definedName>
    <definedName name="HTML_Control_Ori" localSheetId="47" hidden="1">{"'Sheet1'!$A$14:$K$113"}</definedName>
    <definedName name="HTML_Control_Ori" localSheetId="45" hidden="1">{"'Sheet1'!$A$14:$K$113"}</definedName>
    <definedName name="HTML_Control_Ori" localSheetId="44" hidden="1">{"'Sheet1'!$A$14:$K$113"}</definedName>
    <definedName name="HTML_Control_Ori" localSheetId="46" hidden="1">{"'Sheet1'!$A$14:$K$113"}</definedName>
    <definedName name="HTML_Control_Ori" localSheetId="42" hidden="1">{"'Sheet1'!$A$14:$K$113"}</definedName>
    <definedName name="HTML_Control_Ori" localSheetId="41" hidden="1">{"'Sheet1'!$A$14:$K$113"}</definedName>
    <definedName name="HTML_Control_Ori" localSheetId="43"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6" hidden="1">{"'Sheet1'!$A$1:$R$155"}</definedName>
    <definedName name="HTMLcontrol" localSheetId="5" hidden="1">{"'Sheet1'!$A$1:$R$155"}</definedName>
    <definedName name="HTMLcontrol" localSheetId="2" hidden="1">{"'Sheet1'!$A$1:$R$155"}</definedName>
    <definedName name="HTMLcontrol" localSheetId="47" hidden="1">{"'Sheet1'!$A$1:$R$155"}</definedName>
    <definedName name="HTMLcontrol" localSheetId="45" hidden="1">{"'Sheet1'!$A$1:$R$155"}</definedName>
    <definedName name="HTMLcontrol" localSheetId="44" hidden="1">{"'Sheet1'!$A$1:$R$155"}</definedName>
    <definedName name="HTMLcontrol" localSheetId="46" hidden="1">{"'Sheet1'!$A$1:$R$155"}</definedName>
    <definedName name="HTMLcontrol" localSheetId="42" hidden="1">{"'Sheet1'!$A$1:$R$155"}</definedName>
    <definedName name="HTMLcontrol" localSheetId="41" hidden="1">{"'Sheet1'!$A$1:$R$155"}</definedName>
    <definedName name="HTMLcontrol" localSheetId="43" hidden="1">{"'Sheet1'!$A$1:$R$155"}</definedName>
    <definedName name="HTMLcontrol" hidden="1">{"'Sheet1'!$A$1:$R$155"}</definedName>
    <definedName name="HTMLControlOri" localSheetId="6" hidden="1">{"'Sheet1'!$A$14:$K$113"}</definedName>
    <definedName name="HTMLControlOri" localSheetId="5" hidden="1">{"'Sheet1'!$A$14:$K$113"}</definedName>
    <definedName name="HTMLControlOri" localSheetId="2" hidden="1">{"'Sheet1'!$A$14:$K$113"}</definedName>
    <definedName name="HTMLControlOri" localSheetId="47" hidden="1">{"'Sheet1'!$A$14:$K$113"}</definedName>
    <definedName name="HTMLControlOri" localSheetId="45" hidden="1">{"'Sheet1'!$A$14:$K$113"}</definedName>
    <definedName name="HTMLControlOri" localSheetId="44" hidden="1">{"'Sheet1'!$A$14:$K$113"}</definedName>
    <definedName name="HTMLControlOri" localSheetId="46" hidden="1">{"'Sheet1'!$A$14:$K$113"}</definedName>
    <definedName name="HTMLControlOri" localSheetId="42" hidden="1">{"'Sheet1'!$A$14:$K$113"}</definedName>
    <definedName name="HTMLControlOri" localSheetId="41" hidden="1">{"'Sheet1'!$A$14:$K$113"}</definedName>
    <definedName name="HTMLControlOri" localSheetId="43" hidden="1">{"'Sheet1'!$A$14:$K$113"}</definedName>
    <definedName name="HTMLControlOri" hidden="1">{"'Sheet1'!$A$14:$K$113"}</definedName>
    <definedName name="i_at" localSheetId="6">#REF!</definedName>
    <definedName name="i_at" localSheetId="5">#REF!</definedName>
    <definedName name="i_at" localSheetId="45">#REF!</definedName>
    <definedName name="i_at" localSheetId="44">#REF!</definedName>
    <definedName name="i_at" localSheetId="46">#REF!</definedName>
    <definedName name="i_at" localSheetId="41">#REF!</definedName>
    <definedName name="i_at" localSheetId="43">#REF!</definedName>
    <definedName name="i_at">#REF!</definedName>
    <definedName name="iat" localSheetId="6">#REF!</definedName>
    <definedName name="iat" localSheetId="5">#REF!</definedName>
    <definedName name="iat" localSheetId="45">#REF!</definedName>
    <definedName name="iat" localSheetId="44">#REF!</definedName>
    <definedName name="iat" localSheetId="46">#REF!</definedName>
    <definedName name="iat" localSheetId="41">#REF!</definedName>
    <definedName name="iat" localSheetId="43">#REF!</definedName>
    <definedName name="iat">#REF!</definedName>
    <definedName name="incentives_invest" localSheetId="6">#REF!</definedName>
    <definedName name="incentives_invest" localSheetId="5">#REF!</definedName>
    <definedName name="incentives_invest" localSheetId="45">#REF!</definedName>
    <definedName name="incentives_invest" localSheetId="44">#REF!</definedName>
    <definedName name="incentives_invest" localSheetId="46">#REF!</definedName>
    <definedName name="incentives_invest">#REF!</definedName>
    <definedName name="Inflation" localSheetId="6">#REF!</definedName>
    <definedName name="Inflation" localSheetId="5">#REF!</definedName>
    <definedName name="Inflation" localSheetId="45">#REF!</definedName>
    <definedName name="Inflation" localSheetId="44">#REF!</definedName>
    <definedName name="Inflation" localSheetId="46">#REF!</definedName>
    <definedName name="Inflation" localSheetId="42">#REF!</definedName>
    <definedName name="Inflation" localSheetId="41">#REF!</definedName>
    <definedName name="Inflation" localSheetId="43">#REF!</definedName>
    <definedName name="Inflation">#REF!</definedName>
    <definedName name="inputsheet" localSheetId="6">#REF!</definedName>
    <definedName name="inputsheet" localSheetId="5">#REF!</definedName>
    <definedName name="inputsheet" localSheetId="45">#REF!</definedName>
    <definedName name="inputsheet" localSheetId="44">#REF!</definedName>
    <definedName name="inputsheet" localSheetId="46">#REF!</definedName>
    <definedName name="inputsheet" localSheetId="42">#REF!</definedName>
    <definedName name="inputsheet" localSheetId="41">#REF!</definedName>
    <definedName name="inputsheet" localSheetId="43">#REF!</definedName>
    <definedName name="inputsheet">#REF!</definedName>
    <definedName name="Ins_Rate" localSheetId="6">#REF!</definedName>
    <definedName name="Ins_Rate" localSheetId="5">#REF!</definedName>
    <definedName name="Ins_Rate" localSheetId="45">#REF!</definedName>
    <definedName name="Ins_Rate" localSheetId="44">#REF!</definedName>
    <definedName name="Ins_Rate" localSheetId="46">#REF!</definedName>
    <definedName name="Ins_Rate" localSheetId="41">#REF!</definedName>
    <definedName name="Ins_Rate" localSheetId="43">#REF!</definedName>
    <definedName name="Ins_Rate">#REF!</definedName>
    <definedName name="INS_remove" localSheetId="6">#REF!</definedName>
    <definedName name="INS_remove" localSheetId="5">#REF!</definedName>
    <definedName name="INS_remove" localSheetId="45">#REF!</definedName>
    <definedName name="INS_remove" localSheetId="44">#REF!</definedName>
    <definedName name="INS_remove" localSheetId="46">#REF!</definedName>
    <definedName name="INS_remove" localSheetId="41">#REF!</definedName>
    <definedName name="INS_remove" localSheetId="43">#REF!</definedName>
    <definedName name="INS_remove">#REF!</definedName>
    <definedName name="Installed_Cost" localSheetId="6">#REF!</definedName>
    <definedName name="Installed_Cost" localSheetId="5">#REF!</definedName>
    <definedName name="Installed_Cost" localSheetId="45">#REF!</definedName>
    <definedName name="Installed_Cost" localSheetId="44">#REF!</definedName>
    <definedName name="Installed_Cost" localSheetId="46">#REF!</definedName>
    <definedName name="Installed_Cost" localSheetId="42">#REF!</definedName>
    <definedName name="Installed_Cost" localSheetId="41">#REF!</definedName>
    <definedName name="Installed_Cost" localSheetId="43">#REF!</definedName>
    <definedName name="Installed_Cost">#REF!</definedName>
    <definedName name="InstalledCost" localSheetId="6">#REF!</definedName>
    <definedName name="InstalledCost" localSheetId="5">#REF!</definedName>
    <definedName name="InstalledCost" localSheetId="45">#REF!</definedName>
    <definedName name="InstalledCost" localSheetId="44">#REF!</definedName>
    <definedName name="InstalledCost" localSheetId="46">#REF!</definedName>
    <definedName name="InstalledCost" localSheetId="42">#REF!</definedName>
    <definedName name="InstalledCost" localSheetId="41">#REF!</definedName>
    <definedName name="InstalledCost" localSheetId="43">#REF!</definedName>
    <definedName name="InstalledCost">#REF!</definedName>
    <definedName name="Interest_During_Construction" localSheetId="6">#REF!</definedName>
    <definedName name="Interest_During_Construction" localSheetId="5">#REF!</definedName>
    <definedName name="Interest_During_Construction" localSheetId="45">#REF!</definedName>
    <definedName name="Interest_During_Construction" localSheetId="44">#REF!</definedName>
    <definedName name="Interest_During_Construction" localSheetId="46">#REF!</definedName>
    <definedName name="Interest_During_Construction" localSheetId="41">#REF!</definedName>
    <definedName name="Interest_During_Construction" localSheetId="43">#REF!</definedName>
    <definedName name="Interest_During_Construction">#REF!</definedName>
    <definedName name="Invest_Net" localSheetId="6">#REF!</definedName>
    <definedName name="Invest_Net" localSheetId="5">#REF!</definedName>
    <definedName name="Invest_Net" localSheetId="45">#REF!</definedName>
    <definedName name="Invest_Net" localSheetId="44">#REF!</definedName>
    <definedName name="Invest_Net" localSheetId="46">#REF!</definedName>
    <definedName name="Invest_Net" localSheetId="41">#REF!</definedName>
    <definedName name="Invest_Net" localSheetId="43">#REF!</definedName>
    <definedName name="Invest_Net">#REF!</definedName>
    <definedName name="Investment1" localSheetId="6">#REF!</definedName>
    <definedName name="Investment1" localSheetId="5">#REF!</definedName>
    <definedName name="Investment1" localSheetId="45">#REF!</definedName>
    <definedName name="Investment1" localSheetId="44">#REF!</definedName>
    <definedName name="Investment1" localSheetId="46">#REF!</definedName>
    <definedName name="Investment1" localSheetId="41">#REF!</definedName>
    <definedName name="Investment1" localSheetId="43">#REF!</definedName>
    <definedName name="Investment1">#REF!</definedName>
    <definedName name="InvestNet" localSheetId="6">#REF!</definedName>
    <definedName name="InvestNet" localSheetId="5">#REF!</definedName>
    <definedName name="InvestNet" localSheetId="45">#REF!</definedName>
    <definedName name="InvestNet" localSheetId="44">#REF!</definedName>
    <definedName name="InvestNet" localSheetId="46">#REF!</definedName>
    <definedName name="InvestNet" localSheetId="41">#REF!</definedName>
    <definedName name="InvestNet" localSheetId="43">#REF!</definedName>
    <definedName name="InvestN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bor_invest" localSheetId="6">#REF!</definedName>
    <definedName name="labor_invest" localSheetId="5">#REF!</definedName>
    <definedName name="labor_invest" localSheetId="45">#REF!</definedName>
    <definedName name="labor_invest" localSheetId="44">#REF!</definedName>
    <definedName name="labor_invest" localSheetId="46">#REF!</definedName>
    <definedName name="labor_invest">#REF!</definedName>
    <definedName name="level" localSheetId="6">#REF!</definedName>
    <definedName name="level" localSheetId="5">#REF!</definedName>
    <definedName name="level" localSheetId="45">#REF!</definedName>
    <definedName name="level" localSheetId="44">#REF!</definedName>
    <definedName name="level" localSheetId="46">#REF!</definedName>
    <definedName name="level" localSheetId="42">#REF!</definedName>
    <definedName name="level" localSheetId="41">#REF!</definedName>
    <definedName name="level" localSheetId="43">#REF!</definedName>
    <definedName name="level">#REF!</definedName>
    <definedName name="level_method" localSheetId="6">#REF!</definedName>
    <definedName name="level_method" localSheetId="5">#REF!</definedName>
    <definedName name="level_method" localSheetId="45">#REF!</definedName>
    <definedName name="level_method" localSheetId="44">#REF!</definedName>
    <definedName name="level_method" localSheetId="46">#REF!</definedName>
    <definedName name="level_method" localSheetId="42">#REF!</definedName>
    <definedName name="level_method" localSheetId="41">#REF!</definedName>
    <definedName name="level_method" localSheetId="43">#REF!</definedName>
    <definedName name="level_method">#REF!</definedName>
    <definedName name="levelization" localSheetId="6">#REF!</definedName>
    <definedName name="levelization" localSheetId="5">#REF!</definedName>
    <definedName name="levelization" localSheetId="45">#REF!</definedName>
    <definedName name="levelization" localSheetId="44">#REF!</definedName>
    <definedName name="levelization" localSheetId="46">#REF!</definedName>
    <definedName name="levelization" localSheetId="42">#REF!</definedName>
    <definedName name="levelization">#REF!</definedName>
    <definedName name="levelization_method" localSheetId="6">#REF!</definedName>
    <definedName name="levelization_method" localSheetId="5">#REF!</definedName>
    <definedName name="levelization_method" localSheetId="45">#REF!</definedName>
    <definedName name="levelization_method" localSheetId="44">#REF!</definedName>
    <definedName name="levelization_method" localSheetId="46">#REF!</definedName>
    <definedName name="levelization_method" localSheetId="42">#REF!</definedName>
    <definedName name="levelization_method">#REF!</definedName>
    <definedName name="leveloutput_1" localSheetId="6">#REF!</definedName>
    <definedName name="leveloutput_1" localSheetId="5">#REF!</definedName>
    <definedName name="leveloutput_1" localSheetId="45">#REF!</definedName>
    <definedName name="leveloutput_1" localSheetId="44">#REF!</definedName>
    <definedName name="leveloutput_1" localSheetId="46">#REF!</definedName>
    <definedName name="leveloutput_1" localSheetId="42">#REF!</definedName>
    <definedName name="leveloutput_1" localSheetId="41">#REF!</definedName>
    <definedName name="leveloutput_1" localSheetId="43">#REF!</definedName>
    <definedName name="leveloutput_1">#REF!</definedName>
    <definedName name="leveloutput_2" localSheetId="6">#REF!</definedName>
    <definedName name="leveloutput_2" localSheetId="5">#REF!</definedName>
    <definedName name="leveloutput_2" localSheetId="45">#REF!</definedName>
    <definedName name="leveloutput_2" localSheetId="44">#REF!</definedName>
    <definedName name="leveloutput_2" localSheetId="46">#REF!</definedName>
    <definedName name="leveloutput_2" localSheetId="41">#REF!</definedName>
    <definedName name="leveloutput_2" localSheetId="43">#REF!</definedName>
    <definedName name="leveloutput_2">#REF!</definedName>
    <definedName name="leveloutput1" localSheetId="6">#REF!</definedName>
    <definedName name="leveloutput1" localSheetId="5">#REF!</definedName>
    <definedName name="leveloutput1" localSheetId="45">#REF!</definedName>
    <definedName name="leveloutput1" localSheetId="44">#REF!</definedName>
    <definedName name="leveloutput1" localSheetId="46">#REF!</definedName>
    <definedName name="leveloutput1" localSheetId="41">#REF!</definedName>
    <definedName name="leveloutput1" localSheetId="43">#REF!</definedName>
    <definedName name="leveloutput1">#REF!</definedName>
    <definedName name="List_of_BESS_Projects" localSheetId="6">#REF!</definedName>
    <definedName name="List_of_BESS_Projects" localSheetId="5">#REF!</definedName>
    <definedName name="List_of_BESS_Projects" localSheetId="45">#REF!</definedName>
    <definedName name="List_of_BESS_Projects" localSheetId="44">#REF!</definedName>
    <definedName name="List_of_BESS_Projects" localSheetId="46">#REF!</definedName>
    <definedName name="List_of_BESS_Projects">#REF!</definedName>
    <definedName name="ListOffset" hidden="1">8</definedName>
    <definedName name="loadperiod" localSheetId="6">#REF!</definedName>
    <definedName name="loadperiod" localSheetId="5">#REF!</definedName>
    <definedName name="loadperiod" localSheetId="47">#REF!</definedName>
    <definedName name="loadperiod" localSheetId="45">#REF!</definedName>
    <definedName name="loadperiod" localSheetId="44">#REF!</definedName>
    <definedName name="loadperiod" localSheetId="46">#REF!</definedName>
    <definedName name="loadperiod" localSheetId="42">#REF!</definedName>
    <definedName name="loadperiod" localSheetId="41">#REF!</definedName>
    <definedName name="loadperiod" localSheetId="43">#REF!</definedName>
    <definedName name="loadperiod">#REF!</definedName>
    <definedName name="Loan_Period" localSheetId="6">#REF!</definedName>
    <definedName name="Loan_Period" localSheetId="5">#REF!</definedName>
    <definedName name="Loan_Period" localSheetId="47">#REF!</definedName>
    <definedName name="Loan_Period" localSheetId="45">#REF!</definedName>
    <definedName name="Loan_Period" localSheetId="44">#REF!</definedName>
    <definedName name="Loan_Period" localSheetId="46">#REF!</definedName>
    <definedName name="Loan_Period" localSheetId="42">#REF!</definedName>
    <definedName name="Loan_Period" localSheetId="41">#REF!</definedName>
    <definedName name="Loan_Period" localSheetId="43">#REF!</definedName>
    <definedName name="Loan_Period">#REF!</definedName>
    <definedName name="M" localSheetId="6">SUMIF(#REF!,"M",#REF!)</definedName>
    <definedName name="M" localSheetId="5">SUMIF(#REF!,"M",#REF!)</definedName>
    <definedName name="M" localSheetId="47">SUMIF(#REF!,"M",#REF!)</definedName>
    <definedName name="M" localSheetId="45">SUMIF(#REF!,"M",#REF!)</definedName>
    <definedName name="M" localSheetId="44">SUMIF(#REF!,"M",#REF!)</definedName>
    <definedName name="M" localSheetId="46">SUMIF(#REF!,"M",#REF!)</definedName>
    <definedName name="M" localSheetId="42">SUMIF(#REF!,"M",#REF!)</definedName>
    <definedName name="M" localSheetId="41">SUMIF(#REF!,"M",#REF!)</definedName>
    <definedName name="M" localSheetId="43">SUMIF(#REF!,"M",#REF!)</definedName>
    <definedName name="M">SUMIF(#REF!,"M",#REF!)</definedName>
    <definedName name="MACRS" localSheetId="6">#REF!</definedName>
    <definedName name="MACRS" localSheetId="5">#REF!</definedName>
    <definedName name="MACRS" localSheetId="47">#REF!</definedName>
    <definedName name="MACRS" localSheetId="45">#REF!</definedName>
    <definedName name="MACRS" localSheetId="44">#REF!</definedName>
    <definedName name="MACRS" localSheetId="46">#REF!</definedName>
    <definedName name="MACRS" localSheetId="41">#REF!</definedName>
    <definedName name="MACRS" localSheetId="43">#REF!</definedName>
    <definedName name="MACRS">#REF!</definedName>
    <definedName name="MACRS1" localSheetId="6">#REF!</definedName>
    <definedName name="MACRS1" localSheetId="5">#REF!</definedName>
    <definedName name="MACRS1" localSheetId="45">#REF!</definedName>
    <definedName name="MACRS1" localSheetId="44">#REF!</definedName>
    <definedName name="MACRS1" localSheetId="46">#REF!</definedName>
    <definedName name="MACRS1" localSheetId="41">#REF!</definedName>
    <definedName name="MACRS1" localSheetId="43">#REF!</definedName>
    <definedName name="MACRS1">#REF!</definedName>
    <definedName name="marketing_invest" localSheetId="6">#REF!</definedName>
    <definedName name="marketing_invest" localSheetId="5">#REF!</definedName>
    <definedName name="marketing_invest" localSheetId="45">#REF!</definedName>
    <definedName name="marketing_invest" localSheetId="44">#REF!</definedName>
    <definedName name="marketing_invest" localSheetId="46">#REF!</definedName>
    <definedName name="marketing_invest">#REF!</definedName>
    <definedName name="materials_invest" localSheetId="6">#REF!</definedName>
    <definedName name="materials_invest" localSheetId="5">#REF!</definedName>
    <definedName name="materials_invest" localSheetId="45">#REF!</definedName>
    <definedName name="materials_invest" localSheetId="44">#REF!</definedName>
    <definedName name="materials_invest" localSheetId="46">#REF!</definedName>
    <definedName name="materials_invest">#REF!</definedName>
    <definedName name="MEPPI_Dry_Bridge" localSheetId="6">#REF!</definedName>
    <definedName name="MEPPI_Dry_Bridge" localSheetId="5">#REF!</definedName>
    <definedName name="MEPPI_Dry_Bridge" localSheetId="45">#REF!</definedName>
    <definedName name="MEPPI_Dry_Bridge" localSheetId="44">#REF!</definedName>
    <definedName name="MEPPI_Dry_Bridge" localSheetId="46">#REF!</definedName>
    <definedName name="MEPPI_Dry_Bridge">#REF!</definedName>
    <definedName name="MEPPI_Nursery_Lane" localSheetId="6">#REF!</definedName>
    <definedName name="MEPPI_Nursery_Lane" localSheetId="5">#REF!</definedName>
    <definedName name="MEPPI_Nursery_Lane" localSheetId="45">#REF!</definedName>
    <definedName name="MEPPI_Nursery_Lane" localSheetId="44">#REF!</definedName>
    <definedName name="MEPPI_Nursery_Lane" localSheetId="46">#REF!</definedName>
    <definedName name="MEPPI_Nursery_Lane">#REF!</definedName>
    <definedName name="Misc_Material" localSheetId="6" hidden="1">#REF!</definedName>
    <definedName name="Misc_Material" localSheetId="5" hidden="1">#REF!</definedName>
    <definedName name="Misc_Material" localSheetId="45" hidden="1">#REF!</definedName>
    <definedName name="Misc_Material" localSheetId="44" hidden="1">#REF!</definedName>
    <definedName name="Misc_Material" localSheetId="46" hidden="1">#REF!</definedName>
    <definedName name="Misc_Material" hidden="1">#REF!</definedName>
    <definedName name="mktriskprem" localSheetId="6">#REF!</definedName>
    <definedName name="mktriskprem" localSheetId="5">#REF!</definedName>
    <definedName name="mktriskprem" localSheetId="45">#REF!</definedName>
    <definedName name="mktriskprem" localSheetId="44">#REF!</definedName>
    <definedName name="mktriskprem" localSheetId="46">#REF!</definedName>
    <definedName name="mktriskprem" localSheetId="42">#REF!</definedName>
    <definedName name="mktriskprem" localSheetId="41">#REF!</definedName>
    <definedName name="mktriskprem" localSheetId="43">#REF!</definedName>
    <definedName name="mktriskprem">#REF!</definedName>
    <definedName name="mktriskprem_ee" localSheetId="6">#REF!</definedName>
    <definedName name="mktriskprem_ee" localSheetId="5">#REF!</definedName>
    <definedName name="mktriskprem_ee" localSheetId="45">#REF!</definedName>
    <definedName name="mktriskprem_ee" localSheetId="44">#REF!</definedName>
    <definedName name="mktriskprem_ee" localSheetId="46">#REF!</definedName>
    <definedName name="mktriskprem_ee" localSheetId="41">#REF!</definedName>
    <definedName name="mktriskprem_ee" localSheetId="43">#REF!</definedName>
    <definedName name="mktriskprem_ee">#REF!</definedName>
    <definedName name="MLNK0024a778f6364c688951832e48ee2a16" hidden="1">'Capital Costs - BESS'!$D$5:$Q$37</definedName>
    <definedName name="MLNK0ffda0683b1c407fa4827ddad6f32a92" hidden="1">'O&amp;M Costs - CC'!$D$5:$P$35</definedName>
    <definedName name="MLNK148e78c9123d4f499b1f6614f9af4e74" hidden="1">'Capital Costs - CC'!$M$22</definedName>
    <definedName name="MLNK23bb4bb794224f69a02d0faf91f77bf0" hidden="1">'Capital Costs - CC'!$D$4:$Q$52</definedName>
    <definedName name="MLNK2bc046ed264c467286410f15ebf34496" hidden="1">'O&amp;M Costs - CT'!$1:$1048576</definedName>
    <definedName name="MLNK31ca6ad19578428d9f7a2e513eaa91c6" localSheetId="6" hidden="1">'CONE-All Areas'!$1:$1048576</definedName>
    <definedName name="MLNK31ca6ad19578428d9f7a2e513eaa91c6" hidden="1">'Net CONE-RTO Benchmarks'!$1:$1048576</definedName>
    <definedName name="MLNK3ec9696b5dbf478b83b5d11c929dfdca" hidden="1">'CONE Summary - CT'!$D$5:$L$32</definedName>
    <definedName name="MLNK43cb920fcdb5479cb890611d3cb5549b" localSheetId="6" hidden="1">'CONE-All Areas'!$E$5:$J$32</definedName>
    <definedName name="MLNK43cb920fcdb5479cb890611d3cb5549b" hidden="1">'Net CONE-RTO Benchmarks'!$D$5:$M$28</definedName>
    <definedName name="MLNK4d9cb42796f2453fa068667e49fd32a9" hidden="1">'CONE Summary - CC'!$D$5:$L$32</definedName>
    <definedName name="MLNK513c566b20494289a90cfa4af4add15d" hidden="1">'O&amp;M Costs - CT'!$D$5:$P$33</definedName>
    <definedName name="MLNK5568764b821740cbbb0a7cfbb2493029" hidden="1">'Capital Costs - CT'!$1:$1048576</definedName>
    <definedName name="MLNK57de72de52564645a8ff51a1f882d8e5" hidden="1">'Capital Costs - CC'!$D$5:$Q$51</definedName>
    <definedName name="MLNK5903938aa2ad4eba9db9a33184e532d0" hidden="1">'O&amp;M Costs - BESS'!$1:$1048576</definedName>
    <definedName name="MLNK70d3eece3ad543c39f14cc287bb93a0f" hidden="1">'O&amp;M Costs - CC'!$1:$1048576</definedName>
    <definedName name="MLNK75985b6e3ae046d48496ff4ff981a1c0" hidden="1">'CONE Summary - CC'!$1:$1048576</definedName>
    <definedName name="MLNK7b002f5fe3f04df0b36a896c06c7fe70" hidden="1">'O&amp;M Costs - BESS'!$D$5:$P$34</definedName>
    <definedName name="MLNK89b8f58f26de42e3b1b04a9a4afb3c7d" hidden="1">'CONE Summary - CT'!$1:$1048576</definedName>
    <definedName name="MLNK8d047bd608504c5ab16ba4a6743b4e61" hidden="1">'O&amp;M Costs - CC'!$D$3:$P$36</definedName>
    <definedName name="MLNK91533acfef1b4747bed04dcea036746e" hidden="1">'Capital Costs - BESS'!$1:$1048576</definedName>
    <definedName name="MLNK93f322442ff540b0a2d6d9c62face188" hidden="1">'Capital Costs - BESS'!$D$5:$Q$37</definedName>
    <definedName name="MLNK95a71f7b86c74dc19a6c67b9c49ef15c" hidden="1">'O&amp;M Costs - CT'!$D$5:$P$33</definedName>
    <definedName name="MLNKaf9038257b074e78a77b7aa0af225f89" hidden="1">'Capital Costs - CC'!$D$3:$Q$52</definedName>
    <definedName name="MLNKb0985bc7228d4162913aedf64275c0ad" hidden="1">'Capital Costs - CC'!$1:$1048576</definedName>
    <definedName name="MLNKb442cd58940b459ead3a63271b8942b6" hidden="1">'CONE Summary - CC'!$H$26</definedName>
    <definedName name="MLNKc43a0c0cb6bc4d2b9797cb25d66513fd" hidden="1">'Capital Costs - CC'!$D$5:$Q$51</definedName>
    <definedName name="MLNKc85b7dfd99e2429abf044884b7dcde71" hidden="1">'Capital Costs - CT'!$D$5:$Q$49</definedName>
    <definedName name="MLNKd02dea5c99b046bc854385fedb222155" hidden="1">'O&amp;M Costs - CC'!$D$5:$P$35</definedName>
    <definedName name="MLNKdb5637000c9145c9a6b8242f05554cbd" hidden="1">'Capital Costs - CT'!$D$5:$Q$49</definedName>
    <definedName name="MLNKdcdecf0f0be64627b3a89f38af96c0e5" hidden="1">'O&amp;M Costs - BESS'!$D$5:$P$34</definedName>
    <definedName name="MMMM" localSheetId="6">SUMIF(#REF!,"M",#REF!)</definedName>
    <definedName name="MMMM" localSheetId="5">SUMIF(#REF!,"M",#REF!)</definedName>
    <definedName name="MMMM" localSheetId="47">SUMIF(#REF!,"M",#REF!)</definedName>
    <definedName name="MMMM" localSheetId="45">SUMIF(#REF!,"M",#REF!)</definedName>
    <definedName name="MMMM" localSheetId="44">SUMIF(#REF!,"M",#REF!)</definedName>
    <definedName name="MMMM" localSheetId="46">SUMIF(#REF!,"M",#REF!)</definedName>
    <definedName name="MMMM" localSheetId="42">SUMIF(#REF!,"M",#REF!)</definedName>
    <definedName name="MMMM" localSheetId="41">SUMIF(#REF!,"M",#REF!)</definedName>
    <definedName name="MMMM" localSheetId="43">SUMIF(#REF!,"M",#REF!)</definedName>
    <definedName name="MMMM">SUMIF(#REF!,"M",#REF!)</definedName>
    <definedName name="MV_Invest" localSheetId="6">#REF!</definedName>
    <definedName name="MV_Invest" localSheetId="5">#REF!</definedName>
    <definedName name="MV_Invest" localSheetId="45">#REF!</definedName>
    <definedName name="MV_Invest" localSheetId="44">#REF!</definedName>
    <definedName name="MV_Invest" localSheetId="46">#REF!</definedName>
    <definedName name="MV_Invest">#REF!</definedName>
    <definedName name="N_o" localSheetId="6" hidden="1">{"'Sheet1'!$A$14:$K$113"}</definedName>
    <definedName name="N_o" localSheetId="5" hidden="1">{"'Sheet1'!$A$14:$K$113"}</definedName>
    <definedName name="N_o" localSheetId="2" hidden="1">{"'Sheet1'!$A$14:$K$113"}</definedName>
    <definedName name="N_o" localSheetId="47" hidden="1">{"'Sheet1'!$A$14:$K$113"}</definedName>
    <definedName name="N_o" localSheetId="45" hidden="1">{"'Sheet1'!$A$14:$K$113"}</definedName>
    <definedName name="N_o" localSheetId="44" hidden="1">{"'Sheet1'!$A$14:$K$113"}</definedName>
    <definedName name="N_o" localSheetId="46" hidden="1">{"'Sheet1'!$A$14:$K$113"}</definedName>
    <definedName name="N_o" localSheetId="42" hidden="1">{"'Sheet1'!$A$14:$K$113"}</definedName>
    <definedName name="N_o" localSheetId="41" hidden="1">{"'Sheet1'!$A$14:$K$113"}</definedName>
    <definedName name="N_o" localSheetId="43" hidden="1">{"'Sheet1'!$A$14:$K$113"}</definedName>
    <definedName name="N_o" hidden="1">{"'Sheet1'!$A$14:$K$113"}</definedName>
    <definedName name="No" localSheetId="6" hidden="1">{"'Sheet1'!$A$14:$K$113"}</definedName>
    <definedName name="No" localSheetId="5" hidden="1">{"'Sheet1'!$A$14:$K$113"}</definedName>
    <definedName name="No" localSheetId="2" hidden="1">{"'Sheet1'!$A$14:$K$113"}</definedName>
    <definedName name="No" localSheetId="47" hidden="1">{"'Sheet1'!$A$14:$K$113"}</definedName>
    <definedName name="No" localSheetId="45" hidden="1">{"'Sheet1'!$A$14:$K$113"}</definedName>
    <definedName name="No" localSheetId="44" hidden="1">{"'Sheet1'!$A$14:$K$113"}</definedName>
    <definedName name="No" localSheetId="46" hidden="1">{"'Sheet1'!$A$14:$K$113"}</definedName>
    <definedName name="No" localSheetId="42" hidden="1">{"'Sheet1'!$A$14:$K$113"}</definedName>
    <definedName name="No" localSheetId="41" hidden="1">{"'Sheet1'!$A$14:$K$113"}</definedName>
    <definedName name="No" localSheetId="43" hidden="1">{"'Sheet1'!$A$14:$K$113"}</definedName>
    <definedName name="No" hidden="1">{"'Sheet1'!$A$14:$K$113"}</definedName>
    <definedName name="NYC_Flag" localSheetId="6">#REF!</definedName>
    <definedName name="NYC_Flag" localSheetId="5">#REF!</definedName>
    <definedName name="NYC_Flag" localSheetId="45">#REF!</definedName>
    <definedName name="NYC_Flag" localSheetId="44">#REF!</definedName>
    <definedName name="NYC_Flag" localSheetId="46">#REF!</definedName>
    <definedName name="NYC_Flag" localSheetId="41">#REF!</definedName>
    <definedName name="NYC_Flag" localSheetId="43">#REF!</definedName>
    <definedName name="NYC_Flag">#REF!</definedName>
    <definedName name="offer_210" localSheetId="6">#REF!</definedName>
    <definedName name="offer_210" localSheetId="5">#REF!</definedName>
    <definedName name="offer_210" localSheetId="45">#REF!</definedName>
    <definedName name="offer_210" localSheetId="44">#REF!</definedName>
    <definedName name="offer_210" localSheetId="46">#REF!</definedName>
    <definedName name="offer_210">#REF!</definedName>
    <definedName name="offer_23" localSheetId="6">#REF!</definedName>
    <definedName name="offer_23" localSheetId="5">#REF!</definedName>
    <definedName name="offer_23" localSheetId="45">#REF!</definedName>
    <definedName name="offer_23" localSheetId="44">#REF!</definedName>
    <definedName name="offer_23" localSheetId="46">#REF!</definedName>
    <definedName name="offer_23">#REF!</definedName>
    <definedName name="offer_27" localSheetId="6">#REF!</definedName>
    <definedName name="offer_27" localSheetId="5">#REF!</definedName>
    <definedName name="offer_27" localSheetId="45">#REF!</definedName>
    <definedName name="offer_27" localSheetId="44">#REF!</definedName>
    <definedName name="offer_27" localSheetId="46">#REF!</definedName>
    <definedName name="offer_27">#REF!</definedName>
    <definedName name="offer1" localSheetId="6">#REF!</definedName>
    <definedName name="offer1" localSheetId="5">#REF!</definedName>
    <definedName name="offer1" localSheetId="45">#REF!</definedName>
    <definedName name="offer1" localSheetId="44">#REF!</definedName>
    <definedName name="offer1" localSheetId="46">#REF!</definedName>
    <definedName name="offer1">#REF!</definedName>
    <definedName name="offer10" localSheetId="6">#REF!</definedName>
    <definedName name="offer10" localSheetId="5">#REF!</definedName>
    <definedName name="offer10" localSheetId="45">#REF!</definedName>
    <definedName name="offer10" localSheetId="44">#REF!</definedName>
    <definedName name="offer10" localSheetId="46">#REF!</definedName>
    <definedName name="offer10">#REF!</definedName>
    <definedName name="offer11" localSheetId="6">#REF!</definedName>
    <definedName name="offer11" localSheetId="5">#REF!</definedName>
    <definedName name="offer11" localSheetId="45">#REF!</definedName>
    <definedName name="offer11" localSheetId="44">#REF!</definedName>
    <definedName name="offer11" localSheetId="46">#REF!</definedName>
    <definedName name="offer11">#REF!</definedName>
    <definedName name="offer12" localSheetId="6">#REF!</definedName>
    <definedName name="offer12" localSheetId="5">#REF!</definedName>
    <definedName name="offer12" localSheetId="45">#REF!</definedName>
    <definedName name="offer12" localSheetId="44">#REF!</definedName>
    <definedName name="offer12" localSheetId="46">#REF!</definedName>
    <definedName name="offer12">#REF!</definedName>
    <definedName name="offer13" localSheetId="6">#REF!</definedName>
    <definedName name="offer13" localSheetId="5">#REF!</definedName>
    <definedName name="offer13" localSheetId="45">#REF!</definedName>
    <definedName name="offer13" localSheetId="44">#REF!</definedName>
    <definedName name="offer13" localSheetId="46">#REF!</definedName>
    <definedName name="offer13">#REF!</definedName>
    <definedName name="offer14" localSheetId="6">#REF!</definedName>
    <definedName name="offer14" localSheetId="5">#REF!</definedName>
    <definedName name="offer14" localSheetId="45">#REF!</definedName>
    <definedName name="offer14" localSheetId="44">#REF!</definedName>
    <definedName name="offer14" localSheetId="46">#REF!</definedName>
    <definedName name="offer14">#REF!</definedName>
    <definedName name="offer15" localSheetId="6">#REF!</definedName>
    <definedName name="offer15" localSheetId="5">#REF!</definedName>
    <definedName name="offer15" localSheetId="45">#REF!</definedName>
    <definedName name="offer15" localSheetId="44">#REF!</definedName>
    <definedName name="offer15" localSheetId="46">#REF!</definedName>
    <definedName name="offer15">#REF!</definedName>
    <definedName name="offer16" localSheetId="6">#REF!</definedName>
    <definedName name="offer16" localSheetId="5">#REF!</definedName>
    <definedName name="offer16" localSheetId="45">#REF!</definedName>
    <definedName name="offer16" localSheetId="44">#REF!</definedName>
    <definedName name="offer16" localSheetId="46">#REF!</definedName>
    <definedName name="offer16">#REF!</definedName>
    <definedName name="offer17" localSheetId="6">#REF!</definedName>
    <definedName name="offer17" localSheetId="5">#REF!</definedName>
    <definedName name="offer17" localSheetId="45">#REF!</definedName>
    <definedName name="offer17" localSheetId="44">#REF!</definedName>
    <definedName name="offer17" localSheetId="46">#REF!</definedName>
    <definedName name="offer17">#REF!</definedName>
    <definedName name="offer18" localSheetId="6">#REF!</definedName>
    <definedName name="offer18" localSheetId="5">#REF!</definedName>
    <definedName name="offer18" localSheetId="45">#REF!</definedName>
    <definedName name="offer18" localSheetId="44">#REF!</definedName>
    <definedName name="offer18" localSheetId="46">#REF!</definedName>
    <definedName name="offer18">#REF!</definedName>
    <definedName name="offer19" localSheetId="6">#REF!</definedName>
    <definedName name="offer19" localSheetId="5">#REF!</definedName>
    <definedName name="offer19" localSheetId="45">#REF!</definedName>
    <definedName name="offer19" localSheetId="44">#REF!</definedName>
    <definedName name="offer19" localSheetId="46">#REF!</definedName>
    <definedName name="offer19">#REF!</definedName>
    <definedName name="offer2" localSheetId="6">#REF!</definedName>
    <definedName name="offer2" localSheetId="5">#REF!</definedName>
    <definedName name="offer2" localSheetId="45">#REF!</definedName>
    <definedName name="offer2" localSheetId="44">#REF!</definedName>
    <definedName name="offer2" localSheetId="46">#REF!</definedName>
    <definedName name="offer2">#REF!</definedName>
    <definedName name="offer20" localSheetId="6">#REF!</definedName>
    <definedName name="offer20" localSheetId="5">#REF!</definedName>
    <definedName name="offer20" localSheetId="45">#REF!</definedName>
    <definedName name="offer20" localSheetId="44">#REF!</definedName>
    <definedName name="offer20" localSheetId="46">#REF!</definedName>
    <definedName name="offer20">#REF!</definedName>
    <definedName name="offer201" localSheetId="6">#REF!</definedName>
    <definedName name="offer201" localSheetId="5">#REF!</definedName>
    <definedName name="offer201" localSheetId="45">#REF!</definedName>
    <definedName name="offer201" localSheetId="44">#REF!</definedName>
    <definedName name="offer201" localSheetId="46">#REF!</definedName>
    <definedName name="offer201">#REF!</definedName>
    <definedName name="offer202" localSheetId="6">#REF!</definedName>
    <definedName name="offer202" localSheetId="5">#REF!</definedName>
    <definedName name="offer202" localSheetId="45">#REF!</definedName>
    <definedName name="offer202" localSheetId="44">#REF!</definedName>
    <definedName name="offer202" localSheetId="46">#REF!</definedName>
    <definedName name="offer202">#REF!</definedName>
    <definedName name="offer203" localSheetId="6">#REF!</definedName>
    <definedName name="offer203" localSheetId="5">#REF!</definedName>
    <definedName name="offer203" localSheetId="45">#REF!</definedName>
    <definedName name="offer203" localSheetId="44">#REF!</definedName>
    <definedName name="offer203" localSheetId="46">#REF!</definedName>
    <definedName name="offer203">#REF!</definedName>
    <definedName name="offer204" localSheetId="6">#REF!</definedName>
    <definedName name="offer204" localSheetId="5">#REF!</definedName>
    <definedName name="offer204" localSheetId="45">#REF!</definedName>
    <definedName name="offer204" localSheetId="44">#REF!</definedName>
    <definedName name="offer204" localSheetId="46">#REF!</definedName>
    <definedName name="offer204">#REF!</definedName>
    <definedName name="offer205" localSheetId="6">#REF!</definedName>
    <definedName name="offer205" localSheetId="5">#REF!</definedName>
    <definedName name="offer205" localSheetId="45">#REF!</definedName>
    <definedName name="offer205" localSheetId="44">#REF!</definedName>
    <definedName name="offer205" localSheetId="46">#REF!</definedName>
    <definedName name="offer205">#REF!</definedName>
    <definedName name="offer206" localSheetId="6">#REF!</definedName>
    <definedName name="offer206" localSheetId="5">#REF!</definedName>
    <definedName name="offer206" localSheetId="45">#REF!</definedName>
    <definedName name="offer206" localSheetId="44">#REF!</definedName>
    <definedName name="offer206" localSheetId="46">#REF!</definedName>
    <definedName name="offer206">#REF!</definedName>
    <definedName name="offer207" localSheetId="6">#REF!</definedName>
    <definedName name="offer207" localSheetId="5">#REF!</definedName>
    <definedName name="offer207" localSheetId="45">#REF!</definedName>
    <definedName name="offer207" localSheetId="44">#REF!</definedName>
    <definedName name="offer207" localSheetId="46">#REF!</definedName>
    <definedName name="offer207">#REF!</definedName>
    <definedName name="offer208" localSheetId="6">#REF!</definedName>
    <definedName name="offer208" localSheetId="5">#REF!</definedName>
    <definedName name="offer208" localSheetId="45">#REF!</definedName>
    <definedName name="offer208" localSheetId="44">#REF!</definedName>
    <definedName name="offer208" localSheetId="46">#REF!</definedName>
    <definedName name="offer208">#REF!</definedName>
    <definedName name="offer209" localSheetId="6">#REF!</definedName>
    <definedName name="offer209" localSheetId="5">#REF!</definedName>
    <definedName name="offer209" localSheetId="45">#REF!</definedName>
    <definedName name="offer209" localSheetId="44">#REF!</definedName>
    <definedName name="offer209" localSheetId="46">#REF!</definedName>
    <definedName name="offer209">#REF!</definedName>
    <definedName name="offer21" localSheetId="6">#REF!</definedName>
    <definedName name="offer21" localSheetId="5">#REF!</definedName>
    <definedName name="offer21" localSheetId="45">#REF!</definedName>
    <definedName name="offer21" localSheetId="44">#REF!</definedName>
    <definedName name="offer21" localSheetId="46">#REF!</definedName>
    <definedName name="offer21">#REF!</definedName>
    <definedName name="offer210" localSheetId="6">#REF!</definedName>
    <definedName name="offer210" localSheetId="5">#REF!</definedName>
    <definedName name="offer210" localSheetId="45">#REF!</definedName>
    <definedName name="offer210" localSheetId="44">#REF!</definedName>
    <definedName name="offer210" localSheetId="46">#REF!</definedName>
    <definedName name="offer210" localSheetId="42">#REF!</definedName>
    <definedName name="offer210" localSheetId="41">#REF!</definedName>
    <definedName name="offer210" localSheetId="43">#REF!</definedName>
    <definedName name="offer210">#REF!</definedName>
    <definedName name="offer211" localSheetId="6">#REF!</definedName>
    <definedName name="offer211" localSheetId="5">#REF!</definedName>
    <definedName name="offer211" localSheetId="45">#REF!</definedName>
    <definedName name="offer211" localSheetId="44">#REF!</definedName>
    <definedName name="offer211" localSheetId="46">#REF!</definedName>
    <definedName name="offer211">#REF!</definedName>
    <definedName name="offer22" localSheetId="6">#REF!</definedName>
    <definedName name="offer22" localSheetId="5">#REF!</definedName>
    <definedName name="offer22" localSheetId="45">#REF!</definedName>
    <definedName name="offer22" localSheetId="44">#REF!</definedName>
    <definedName name="offer22" localSheetId="46">#REF!</definedName>
    <definedName name="offer22">#REF!</definedName>
    <definedName name="offer23" localSheetId="6">#REF!</definedName>
    <definedName name="offer23" localSheetId="5">#REF!</definedName>
    <definedName name="offer23" localSheetId="45">#REF!</definedName>
    <definedName name="offer23" localSheetId="44">#REF!</definedName>
    <definedName name="offer23" localSheetId="46">#REF!</definedName>
    <definedName name="offer23" localSheetId="42">#REF!</definedName>
    <definedName name="offer23" localSheetId="41">#REF!</definedName>
    <definedName name="offer23" localSheetId="43">#REF!</definedName>
    <definedName name="offer23">#REF!</definedName>
    <definedName name="offer24" localSheetId="6">#REF!</definedName>
    <definedName name="offer24" localSheetId="5">#REF!</definedName>
    <definedName name="offer24" localSheetId="45">#REF!</definedName>
    <definedName name="offer24" localSheetId="44">#REF!</definedName>
    <definedName name="offer24" localSheetId="46">#REF!</definedName>
    <definedName name="offer24">#REF!</definedName>
    <definedName name="offer25" localSheetId="6">#REF!</definedName>
    <definedName name="offer25" localSheetId="5">#REF!</definedName>
    <definedName name="offer25" localSheetId="45">#REF!</definedName>
    <definedName name="offer25" localSheetId="44">#REF!</definedName>
    <definedName name="offer25" localSheetId="46">#REF!</definedName>
    <definedName name="offer25">#REF!</definedName>
    <definedName name="offer26" localSheetId="6">#REF!</definedName>
    <definedName name="offer26" localSheetId="5">#REF!</definedName>
    <definedName name="offer26" localSheetId="45">#REF!</definedName>
    <definedName name="offer26" localSheetId="44">#REF!</definedName>
    <definedName name="offer26" localSheetId="46">#REF!</definedName>
    <definedName name="offer26">#REF!</definedName>
    <definedName name="offer27" localSheetId="6">#REF!</definedName>
    <definedName name="offer27" localSheetId="5">#REF!</definedName>
    <definedName name="offer27" localSheetId="45">#REF!</definedName>
    <definedName name="offer27" localSheetId="44">#REF!</definedName>
    <definedName name="offer27" localSheetId="46">#REF!</definedName>
    <definedName name="offer27" localSheetId="42">#REF!</definedName>
    <definedName name="offer27" localSheetId="41">#REF!</definedName>
    <definedName name="offer27" localSheetId="43">#REF!</definedName>
    <definedName name="offer27">#REF!</definedName>
    <definedName name="offer28" localSheetId="6">#REF!</definedName>
    <definedName name="offer28" localSheetId="5">#REF!</definedName>
    <definedName name="offer28" localSheetId="45">#REF!</definedName>
    <definedName name="offer28" localSheetId="44">#REF!</definedName>
    <definedName name="offer28" localSheetId="46">#REF!</definedName>
    <definedName name="offer28">#REF!</definedName>
    <definedName name="offer29" localSheetId="6">#REF!</definedName>
    <definedName name="offer29" localSheetId="5">#REF!</definedName>
    <definedName name="offer29" localSheetId="45">#REF!</definedName>
    <definedName name="offer29" localSheetId="44">#REF!</definedName>
    <definedName name="offer29" localSheetId="46">#REF!</definedName>
    <definedName name="offer29">#REF!</definedName>
    <definedName name="offer3" localSheetId="6">#REF!</definedName>
    <definedName name="offer3" localSheetId="5">#REF!</definedName>
    <definedName name="offer3" localSheetId="45">#REF!</definedName>
    <definedName name="offer3" localSheetId="44">#REF!</definedName>
    <definedName name="offer3" localSheetId="46">#REF!</definedName>
    <definedName name="offer3">#REF!</definedName>
    <definedName name="offer30" localSheetId="6">#REF!</definedName>
    <definedName name="offer30" localSheetId="5">#REF!</definedName>
    <definedName name="offer30" localSheetId="45">#REF!</definedName>
    <definedName name="offer30" localSheetId="44">#REF!</definedName>
    <definedName name="offer30" localSheetId="46">#REF!</definedName>
    <definedName name="offer30">#REF!</definedName>
    <definedName name="offer31" localSheetId="6">#REF!</definedName>
    <definedName name="offer31" localSheetId="5">#REF!</definedName>
    <definedName name="offer31" localSheetId="45">#REF!</definedName>
    <definedName name="offer31" localSheetId="44">#REF!</definedName>
    <definedName name="offer31" localSheetId="46">#REF!</definedName>
    <definedName name="offer31">#REF!</definedName>
    <definedName name="offer32" localSheetId="6">#REF!</definedName>
    <definedName name="offer32" localSheetId="5">#REF!</definedName>
    <definedName name="offer32" localSheetId="45">#REF!</definedName>
    <definedName name="offer32" localSheetId="44">#REF!</definedName>
    <definedName name="offer32" localSheetId="46">#REF!</definedName>
    <definedName name="offer32">#REF!</definedName>
    <definedName name="offer33" localSheetId="6">#REF!</definedName>
    <definedName name="offer33" localSheetId="5">#REF!</definedName>
    <definedName name="offer33" localSheetId="45">#REF!</definedName>
    <definedName name="offer33" localSheetId="44">#REF!</definedName>
    <definedName name="offer33" localSheetId="46">#REF!</definedName>
    <definedName name="offer33">#REF!</definedName>
    <definedName name="offer34" localSheetId="6">#REF!</definedName>
    <definedName name="offer34" localSheetId="5">#REF!</definedName>
    <definedName name="offer34" localSheetId="45">#REF!</definedName>
    <definedName name="offer34" localSheetId="44">#REF!</definedName>
    <definedName name="offer34" localSheetId="46">#REF!</definedName>
    <definedName name="offer34">#REF!</definedName>
    <definedName name="offer35" localSheetId="6">#REF!</definedName>
    <definedName name="offer35" localSheetId="5">#REF!</definedName>
    <definedName name="offer35" localSheetId="45">#REF!</definedName>
    <definedName name="offer35" localSheetId="44">#REF!</definedName>
    <definedName name="offer35" localSheetId="46">#REF!</definedName>
    <definedName name="offer35">#REF!</definedName>
    <definedName name="offer36" localSheetId="6">#REF!</definedName>
    <definedName name="offer36" localSheetId="5">#REF!</definedName>
    <definedName name="offer36" localSheetId="45">#REF!</definedName>
    <definedName name="offer36" localSheetId="44">#REF!</definedName>
    <definedName name="offer36" localSheetId="46">#REF!</definedName>
    <definedName name="offer36">#REF!</definedName>
    <definedName name="offer37" localSheetId="6">#REF!</definedName>
    <definedName name="offer37" localSheetId="5">#REF!</definedName>
    <definedName name="offer37" localSheetId="45">#REF!</definedName>
    <definedName name="offer37" localSheetId="44">#REF!</definedName>
    <definedName name="offer37" localSheetId="46">#REF!</definedName>
    <definedName name="offer37">#REF!</definedName>
    <definedName name="offer38" localSheetId="6">#REF!</definedName>
    <definedName name="offer38" localSheetId="5">#REF!</definedName>
    <definedName name="offer38" localSheetId="45">#REF!</definedName>
    <definedName name="offer38" localSheetId="44">#REF!</definedName>
    <definedName name="offer38" localSheetId="46">#REF!</definedName>
    <definedName name="offer38">#REF!</definedName>
    <definedName name="offer39" localSheetId="6">#REF!</definedName>
    <definedName name="offer39" localSheetId="5">#REF!</definedName>
    <definedName name="offer39" localSheetId="45">#REF!</definedName>
    <definedName name="offer39" localSheetId="44">#REF!</definedName>
    <definedName name="offer39" localSheetId="46">#REF!</definedName>
    <definedName name="offer39">#REF!</definedName>
    <definedName name="offer4" localSheetId="6">#REF!</definedName>
    <definedName name="offer4" localSheetId="5">#REF!</definedName>
    <definedName name="offer4" localSheetId="45">#REF!</definedName>
    <definedName name="offer4" localSheetId="44">#REF!</definedName>
    <definedName name="offer4" localSheetId="46">#REF!</definedName>
    <definedName name="offer4">#REF!</definedName>
    <definedName name="offer40" localSheetId="6">#REF!</definedName>
    <definedName name="offer40" localSheetId="5">#REF!</definedName>
    <definedName name="offer40" localSheetId="45">#REF!</definedName>
    <definedName name="offer40" localSheetId="44">#REF!</definedName>
    <definedName name="offer40" localSheetId="46">#REF!</definedName>
    <definedName name="offer40">#REF!</definedName>
    <definedName name="offer41" localSheetId="6">#REF!</definedName>
    <definedName name="offer41" localSheetId="5">#REF!</definedName>
    <definedName name="offer41" localSheetId="45">#REF!</definedName>
    <definedName name="offer41" localSheetId="44">#REF!</definedName>
    <definedName name="offer41" localSheetId="46">#REF!</definedName>
    <definedName name="offer41">#REF!</definedName>
    <definedName name="offer42" localSheetId="6">#REF!</definedName>
    <definedName name="offer42" localSheetId="5">#REF!</definedName>
    <definedName name="offer42" localSheetId="45">#REF!</definedName>
    <definedName name="offer42" localSheetId="44">#REF!</definedName>
    <definedName name="offer42" localSheetId="46">#REF!</definedName>
    <definedName name="offer42">#REF!</definedName>
    <definedName name="offer43" localSheetId="6">#REF!</definedName>
    <definedName name="offer43" localSheetId="5">#REF!</definedName>
    <definedName name="offer43" localSheetId="45">#REF!</definedName>
    <definedName name="offer43" localSheetId="44">#REF!</definedName>
    <definedName name="offer43" localSheetId="46">#REF!</definedName>
    <definedName name="offer43">#REF!</definedName>
    <definedName name="offer44" localSheetId="6">#REF!</definedName>
    <definedName name="offer44" localSheetId="5">#REF!</definedName>
    <definedName name="offer44" localSheetId="45">#REF!</definedName>
    <definedName name="offer44" localSheetId="44">#REF!</definedName>
    <definedName name="offer44" localSheetId="46">#REF!</definedName>
    <definedName name="offer44">#REF!</definedName>
    <definedName name="offer45" localSheetId="6">#REF!</definedName>
    <definedName name="offer45" localSheetId="5">#REF!</definedName>
    <definedName name="offer45" localSheetId="45">#REF!</definedName>
    <definedName name="offer45" localSheetId="44">#REF!</definedName>
    <definedName name="offer45" localSheetId="46">#REF!</definedName>
    <definedName name="offer45">#REF!</definedName>
    <definedName name="offer5" localSheetId="6">#REF!</definedName>
    <definedName name="offer5" localSheetId="5">#REF!</definedName>
    <definedName name="offer5" localSheetId="45">#REF!</definedName>
    <definedName name="offer5" localSheetId="44">#REF!</definedName>
    <definedName name="offer5" localSheetId="46">#REF!</definedName>
    <definedName name="offer5">#REF!</definedName>
    <definedName name="offer6" localSheetId="6">#REF!</definedName>
    <definedName name="offer6" localSheetId="5">#REF!</definedName>
    <definedName name="offer6" localSheetId="45">#REF!</definedName>
    <definedName name="offer6" localSheetId="44">#REF!</definedName>
    <definedName name="offer6" localSheetId="46">#REF!</definedName>
    <definedName name="offer6">#REF!</definedName>
    <definedName name="offer7" localSheetId="6">#REF!</definedName>
    <definedName name="offer7" localSheetId="5">#REF!</definedName>
    <definedName name="offer7" localSheetId="45">#REF!</definedName>
    <definedName name="offer7" localSheetId="44">#REF!</definedName>
    <definedName name="offer7" localSheetId="46">#REF!</definedName>
    <definedName name="offer7">#REF!</definedName>
    <definedName name="offer8" localSheetId="6">#REF!</definedName>
    <definedName name="offer8" localSheetId="5">#REF!</definedName>
    <definedName name="offer8" localSheetId="45">#REF!</definedName>
    <definedName name="offer8" localSheetId="44">#REF!</definedName>
    <definedName name="offer8" localSheetId="46">#REF!</definedName>
    <definedName name="offer8">#REF!</definedName>
    <definedName name="offer9" localSheetId="6">#REF!</definedName>
    <definedName name="offer9" localSheetId="5">#REF!</definedName>
    <definedName name="offer9" localSheetId="45">#REF!</definedName>
    <definedName name="offer9" localSheetId="44">#REF!</definedName>
    <definedName name="offer9" localSheetId="46">#REF!</definedName>
    <definedName name="offer9">#REF!</definedName>
    <definedName name="OL" localSheetId="6">SUMIF(#REF!,"OL",#REF!)</definedName>
    <definedName name="OL" localSheetId="5">SUMIF(#REF!,"OL",#REF!)</definedName>
    <definedName name="OL" localSheetId="47">SUMIF(#REF!,"OL",#REF!)</definedName>
    <definedName name="OL" localSheetId="45">SUMIF(#REF!,"OL",#REF!)</definedName>
    <definedName name="OL" localSheetId="44">SUMIF(#REF!,"OL",#REF!)</definedName>
    <definedName name="OL" localSheetId="46">SUMIF(#REF!,"OL",#REF!)</definedName>
    <definedName name="OL" localSheetId="42">SUMIF(#REF!,"OL",#REF!)</definedName>
    <definedName name="OL" localSheetId="41">SUMIF(#REF!,"OL",#REF!)</definedName>
    <definedName name="OL" localSheetId="43">SUMIF(#REF!,"OL",#REF!)</definedName>
    <definedName name="OL">SUMIF(#REF!,"OL",#REF!)</definedName>
    <definedName name="OM_LT_inflation">#REF!</definedName>
    <definedName name="OM_ST_inflation">'[1]O&amp;M Costs_2026$'!$B$4</definedName>
    <definedName name="Opportunity_Cost1" localSheetId="6">#REF!</definedName>
    <definedName name="Opportunity_Cost1" localSheetId="5">#REF!</definedName>
    <definedName name="Opportunity_Cost1" localSheetId="45">#REF!</definedName>
    <definedName name="Opportunity_Cost1" localSheetId="44">#REF!</definedName>
    <definedName name="Opportunity_Cost1" localSheetId="46">#REF!</definedName>
    <definedName name="Opportunity_Cost1" localSheetId="41">#REF!</definedName>
    <definedName name="Opportunity_Cost1" localSheetId="43">#REF!</definedName>
    <definedName name="Opportunity_Cost1">#REF!</definedName>
    <definedName name="overnight_cost" localSheetId="6">#REF!</definedName>
    <definedName name="overnight_cost" localSheetId="5">#REF!</definedName>
    <definedName name="overnight_cost" localSheetId="45">#REF!</definedName>
    <definedName name="overnight_cost" localSheetId="44">#REF!</definedName>
    <definedName name="overnight_cost" localSheetId="46">#REF!</definedName>
    <definedName name="overnight_cost" localSheetId="42">#REF!</definedName>
    <definedName name="overnight_cost" localSheetId="41">#REF!</definedName>
    <definedName name="overnight_cost" localSheetId="43">#REF!</definedName>
    <definedName name="overnight_cost">#REF!</definedName>
    <definedName name="Peak_DR" localSheetId="6">#REF!</definedName>
    <definedName name="Peak_DR" localSheetId="5">#REF!</definedName>
    <definedName name="Peak_DR" localSheetId="45">#REF!</definedName>
    <definedName name="Peak_DR" localSheetId="44">#REF!</definedName>
    <definedName name="Peak_DR" localSheetId="46">#REF!</definedName>
    <definedName name="Peak_DR">#REF!</definedName>
    <definedName name="Peak_Sensitivity1" localSheetId="6">#REF!</definedName>
    <definedName name="Peak_Sensitivity1" localSheetId="5">#REF!</definedName>
    <definedName name="Peak_Sensitivity1" localSheetId="45">#REF!</definedName>
    <definedName name="Peak_Sensitivity1" localSheetId="44">#REF!</definedName>
    <definedName name="Peak_Sensitivity1" localSheetId="46">#REF!</definedName>
    <definedName name="Peak_Sensitivity1">#REF!</definedName>
    <definedName name="peak1" localSheetId="6">#REF!</definedName>
    <definedName name="peak1" localSheetId="5">#REF!</definedName>
    <definedName name="peak1" localSheetId="45">#REF!</definedName>
    <definedName name="peak1" localSheetId="44">#REF!</definedName>
    <definedName name="peak1" localSheetId="46">#REF!</definedName>
    <definedName name="peak1">#REF!</definedName>
    <definedName name="Perf_Inc" localSheetId="6">#REF!</definedName>
    <definedName name="Perf_Inc" localSheetId="5">#REF!</definedName>
    <definedName name="Perf_Inc" localSheetId="45">#REF!</definedName>
    <definedName name="Perf_Inc" localSheetId="44">#REF!</definedName>
    <definedName name="Perf_Inc" localSheetId="46">#REF!</definedName>
    <definedName name="Perf_Inc" localSheetId="42">#REF!</definedName>
    <definedName name="Perf_Inc" localSheetId="41">#REF!</definedName>
    <definedName name="Perf_Inc" localSheetId="43">#REF!</definedName>
    <definedName name="Perf_Inc">#REF!</definedName>
    <definedName name="PerfInc" localSheetId="6">#REF!</definedName>
    <definedName name="PerfInc" localSheetId="5">#REF!</definedName>
    <definedName name="PerfInc" localSheetId="45">#REF!</definedName>
    <definedName name="PerfInc" localSheetId="44">#REF!</definedName>
    <definedName name="PerfInc" localSheetId="46">#REF!</definedName>
    <definedName name="PerfInc" localSheetId="42">#REF!</definedName>
    <definedName name="PerfInc">#REF!</definedName>
    <definedName name="PI" localSheetId="6">#REF!</definedName>
    <definedName name="PI" localSheetId="5">#REF!</definedName>
    <definedName name="PI" localSheetId="45">#REF!</definedName>
    <definedName name="PI" localSheetId="44">#REF!</definedName>
    <definedName name="PI" localSheetId="46">#REF!</definedName>
    <definedName name="PI" localSheetId="42">#REF!</definedName>
    <definedName name="PI" localSheetId="41">#REF!</definedName>
    <definedName name="PI" localSheetId="43">#REF!</definedName>
    <definedName name="PI">#REF!</definedName>
    <definedName name="Plant_Capacity" localSheetId="6">#REF!</definedName>
    <definedName name="Plant_Capacity" localSheetId="5">#REF!</definedName>
    <definedName name="Plant_Capacity" localSheetId="45">#REF!</definedName>
    <definedName name="Plant_Capacity" localSheetId="44">#REF!</definedName>
    <definedName name="Plant_Capacity" localSheetId="46">#REF!</definedName>
    <definedName name="Plant_Capacity" localSheetId="42">#REF!</definedName>
    <definedName name="Plant_Capacity" localSheetId="41">#REF!</definedName>
    <definedName name="Plant_Capacity" localSheetId="43">#REF!</definedName>
    <definedName name="Plant_Capacity">#REF!</definedName>
    <definedName name="_xlnm.Print_Area" localSheetId="8">'CONE Summary - CC'!$D$4:$L$33</definedName>
    <definedName name="_xlnm.Print_Area" localSheetId="7">'CONE Summary - CT'!$D$4:$L$33</definedName>
    <definedName name="_xlnm.Print_Area" localSheetId="0">'Cover Page'!$A$1:$F$36</definedName>
    <definedName name="_xlnm.Print_Area" localSheetId="46">'S&amp;L BESS - O&amp;M Costs'!$D$5:$I$32</definedName>
    <definedName name="_xlnm.Print_Area" localSheetId="42">'S&amp;L CC+CT - Capital Costs'!$A$4:$P$61</definedName>
    <definedName name="_xlnm.Print_Area" localSheetId="43">'S&amp;L CC+CT - O&amp;M Costs'!$D$4:$J$35</definedName>
    <definedName name="_xlnm.Print_Area" localSheetId="1">ToC!$A$1:$K$55</definedName>
    <definedName name="project_life1" localSheetId="6">#REF!</definedName>
    <definedName name="project_life1" localSheetId="5">#REF!</definedName>
    <definedName name="project_life1" localSheetId="45">#REF!</definedName>
    <definedName name="project_life1" localSheetId="44">#REF!</definedName>
    <definedName name="project_life1" localSheetId="46">#REF!</definedName>
    <definedName name="project_life1" localSheetId="42">#REF!</definedName>
    <definedName name="project_life1" localSheetId="41">#REF!</definedName>
    <definedName name="project_life1" localSheetId="43">#REF!</definedName>
    <definedName name="project_life1">#REF!</definedName>
    <definedName name="projectlife" localSheetId="6">#REF!</definedName>
    <definedName name="projectlife" localSheetId="5">#REF!</definedName>
    <definedName name="projectlife" localSheetId="45">#REF!</definedName>
    <definedName name="projectlife" localSheetId="44">#REF!</definedName>
    <definedName name="projectlife" localSheetId="46">#REF!</definedName>
    <definedName name="projectlife" localSheetId="42">#REF!</definedName>
    <definedName name="projectlife" localSheetId="41">#REF!</definedName>
    <definedName name="projectlife" localSheetId="43">#REF!</definedName>
    <definedName name="projectlife">#REF!</definedName>
    <definedName name="Prop_Tax" localSheetId="6">#REF!</definedName>
    <definedName name="Prop_Tax" localSheetId="5">#REF!</definedName>
    <definedName name="Prop_Tax" localSheetId="45">#REF!</definedName>
    <definedName name="Prop_Tax" localSheetId="44">#REF!</definedName>
    <definedName name="Prop_Tax" localSheetId="46">#REF!</definedName>
    <definedName name="Prop_Tax" localSheetId="42">#REF!</definedName>
    <definedName name="Prop_Tax" localSheetId="41">#REF!</definedName>
    <definedName name="Prop_Tax" localSheetId="43">#REF!</definedName>
    <definedName name="Prop_Tax">#REF!</definedName>
    <definedName name="Prop_Tax_Rate" localSheetId="6">#REF!</definedName>
    <definedName name="Prop_Tax_Rate" localSheetId="5">#REF!</definedName>
    <definedName name="Prop_Tax_Rate" localSheetId="45">#REF!</definedName>
    <definedName name="Prop_Tax_Rate" localSheetId="44">#REF!</definedName>
    <definedName name="Prop_Tax_Rate" localSheetId="46">#REF!</definedName>
    <definedName name="Prop_Tax_Rate" localSheetId="41">#REF!</definedName>
    <definedName name="Prop_Tax_Rate" localSheetId="43">#REF!</definedName>
    <definedName name="Prop_Tax_Rate">#REF!</definedName>
    <definedName name="PropTax" localSheetId="6">#REF!</definedName>
    <definedName name="PropTax" localSheetId="5">#REF!</definedName>
    <definedName name="PropTax" localSheetId="45">#REF!</definedName>
    <definedName name="PropTax" localSheetId="44">#REF!</definedName>
    <definedName name="PropTax" localSheetId="46">#REF!</definedName>
    <definedName name="PropTax" localSheetId="41">#REF!</definedName>
    <definedName name="PropTax" localSheetId="43">#REF!</definedName>
    <definedName name="PropTax">#REF!</definedName>
    <definedName name="PT_esc" localSheetId="6">#REF!</definedName>
    <definedName name="PT_esc" localSheetId="5">#REF!</definedName>
    <definedName name="PT_esc" localSheetId="45">#REF!</definedName>
    <definedName name="PT_esc" localSheetId="44">#REF!</definedName>
    <definedName name="PT_esc" localSheetId="46">#REF!</definedName>
    <definedName name="PT_esc" localSheetId="41">#REF!</definedName>
    <definedName name="PT_esc" localSheetId="43">#REF!</definedName>
    <definedName name="PT_esc">#REF!</definedName>
    <definedName name="PT_exempt" localSheetId="6">#REF!</definedName>
    <definedName name="PT_exempt" localSheetId="5">#REF!</definedName>
    <definedName name="PT_exempt" localSheetId="45">#REF!</definedName>
    <definedName name="PT_exempt" localSheetId="44">#REF!</definedName>
    <definedName name="PT_exempt" localSheetId="46">#REF!</definedName>
    <definedName name="PT_exempt" localSheetId="41">#REF!</definedName>
    <definedName name="PT_exempt" localSheetId="43">#REF!</definedName>
    <definedName name="PT_exempt">#REF!</definedName>
    <definedName name="Rd_adj" localSheetId="6">#REF!</definedName>
    <definedName name="Rd_adj" localSheetId="5">#REF!</definedName>
    <definedName name="Rd_adj" localSheetId="45">#REF!</definedName>
    <definedName name="Rd_adj" localSheetId="44">#REF!</definedName>
    <definedName name="Rd_adj" localSheetId="46">#REF!</definedName>
    <definedName name="Rd_adj" localSheetId="41">#REF!</definedName>
    <definedName name="Rd_adj" localSheetId="43">#REF!</definedName>
    <definedName name="Rd_adj">#REF!</definedName>
    <definedName name="RDadj" localSheetId="6">#REF!</definedName>
    <definedName name="RDadj" localSheetId="5">#REF!</definedName>
    <definedName name="RDadj" localSheetId="45">#REF!</definedName>
    <definedName name="RDadj" localSheetId="44">#REF!</definedName>
    <definedName name="RDadj" localSheetId="46">#REF!</definedName>
    <definedName name="RDadj" localSheetId="41">#REF!</definedName>
    <definedName name="RDadj" localSheetId="43">#REF!</definedName>
    <definedName name="RDadj">#REF!</definedName>
    <definedName name="Re_adj" localSheetId="6">#REF!</definedName>
    <definedName name="Re_adj" localSheetId="5">#REF!</definedName>
    <definedName name="Re_adj" localSheetId="45">#REF!</definedName>
    <definedName name="Re_adj" localSheetId="44">#REF!</definedName>
    <definedName name="Re_adj" localSheetId="46">#REF!</definedName>
    <definedName name="Re_adj" localSheetId="41">#REF!</definedName>
    <definedName name="Re_adj" localSheetId="43">#REF!</definedName>
    <definedName name="Re_adj">#REF!</definedName>
    <definedName name="REC" localSheetId="6">#REF!</definedName>
    <definedName name="REC" localSheetId="5">#REF!</definedName>
    <definedName name="REC" localSheetId="45">#REF!</definedName>
    <definedName name="REC" localSheetId="44">#REF!</definedName>
    <definedName name="REC" localSheetId="46">#REF!</definedName>
    <definedName name="REC" localSheetId="42">#REF!</definedName>
    <definedName name="REC" localSheetId="41">#REF!</definedName>
    <definedName name="REC" localSheetId="43">#REF!</definedName>
    <definedName name="REC">#REF!</definedName>
    <definedName name="Region" localSheetId="6">#REF!</definedName>
    <definedName name="Region" localSheetId="5">#REF!</definedName>
    <definedName name="Region" localSheetId="45">#REF!</definedName>
    <definedName name="Region" localSheetId="44">#REF!</definedName>
    <definedName name="Region" localSheetId="46">#REF!</definedName>
    <definedName name="Region" localSheetId="42">#REF!</definedName>
    <definedName name="Region" localSheetId="41">#REF!</definedName>
    <definedName name="Region" localSheetId="43">#REF!</definedName>
    <definedName name="Region">#REF!</definedName>
    <definedName name="Region1" localSheetId="6">#REF!</definedName>
    <definedName name="Region1" localSheetId="5">#REF!</definedName>
    <definedName name="Region1" localSheetId="45">#REF!</definedName>
    <definedName name="Region1" localSheetId="44">#REF!</definedName>
    <definedName name="Region1" localSheetId="46">#REF!</definedName>
    <definedName name="Region1" localSheetId="42">#REF!</definedName>
    <definedName name="Region1" localSheetId="41">#REF!</definedName>
    <definedName name="Region1" localSheetId="43">#REF!</definedName>
    <definedName name="Region1">#REF!</definedName>
    <definedName name="RESULTS_A" localSheetId="6">#REF!</definedName>
    <definedName name="RESULTS_A" localSheetId="5">#REF!</definedName>
    <definedName name="RESULTS_A" localSheetId="45">#REF!</definedName>
    <definedName name="RESULTS_A" localSheetId="44">#REF!</definedName>
    <definedName name="RESULTS_A" localSheetId="46">#REF!</definedName>
    <definedName name="RESULTS_A" localSheetId="41">#REF!</definedName>
    <definedName name="RESULTS_A" localSheetId="43">#REF!</definedName>
    <definedName name="RESULTS_A">#REF!</definedName>
    <definedName name="RESULTS_B" localSheetId="6">#REF!</definedName>
    <definedName name="RESULTS_B" localSheetId="5">#REF!</definedName>
    <definedName name="RESULTS_B" localSheetId="45">#REF!</definedName>
    <definedName name="RESULTS_B" localSheetId="44">#REF!</definedName>
    <definedName name="RESULTS_B" localSheetId="46">#REF!</definedName>
    <definedName name="RESULTS_B" localSheetId="41">#REF!</definedName>
    <definedName name="RESULTS_B" localSheetId="43">#REF!</definedName>
    <definedName name="RESULTS_B">#REF!</definedName>
    <definedName name="rev_requirements" localSheetId="6">#REF!</definedName>
    <definedName name="rev_requirements" localSheetId="5">#REF!</definedName>
    <definedName name="rev_requirements" localSheetId="45">#REF!</definedName>
    <definedName name="rev_requirements" localSheetId="44">#REF!</definedName>
    <definedName name="rev_requirements" localSheetId="46">#REF!</definedName>
    <definedName name="rev_requirements" localSheetId="42">#REF!</definedName>
    <definedName name="rev_requirements">#REF!</definedName>
    <definedName name="rev_requirements_year" localSheetId="6">#REF!</definedName>
    <definedName name="rev_requirements_year" localSheetId="5">#REF!</definedName>
    <definedName name="rev_requirements_year" localSheetId="45">#REF!</definedName>
    <definedName name="rev_requirements_year" localSheetId="44">#REF!</definedName>
    <definedName name="rev_requirements_year" localSheetId="46">#REF!</definedName>
    <definedName name="rev_requirements_year" localSheetId="42">#REF!</definedName>
    <definedName name="rev_requirements_year" localSheetId="41">#REF!</definedName>
    <definedName name="rev_requirements_year" localSheetId="43">#REF!</definedName>
    <definedName name="rev_requirements_year">#REF!</definedName>
    <definedName name="riskfree" localSheetId="6">#REF!</definedName>
    <definedName name="riskfree" localSheetId="5">#REF!</definedName>
    <definedName name="riskfree" localSheetId="45">#REF!</definedName>
    <definedName name="riskfree" localSheetId="44">#REF!</definedName>
    <definedName name="riskfree" localSheetId="46">#REF!</definedName>
    <definedName name="riskfree" localSheetId="42">#REF!</definedName>
    <definedName name="riskfree" localSheetId="41">#REF!</definedName>
    <definedName name="riskfree" localSheetId="43">#REF!</definedName>
    <definedName name="riskfree">#REF!</definedName>
    <definedName name="riskfreerate_ee" localSheetId="6">#REF!</definedName>
    <definedName name="riskfreerate_ee" localSheetId="5">#REF!</definedName>
    <definedName name="riskfreerate_ee" localSheetId="45">#REF!</definedName>
    <definedName name="riskfreerate_ee" localSheetId="44">#REF!</definedName>
    <definedName name="riskfreerate_ee" localSheetId="46">#REF!</definedName>
    <definedName name="riskfreerate_ee">#REF!</definedName>
    <definedName name="RR" localSheetId="6">#REF!</definedName>
    <definedName name="RR" localSheetId="5">#REF!</definedName>
    <definedName name="RR" localSheetId="45">#REF!</definedName>
    <definedName name="RR" localSheetId="44">#REF!</definedName>
    <definedName name="RR" localSheetId="46">#REF!</definedName>
    <definedName name="RR" localSheetId="42">#REF!</definedName>
    <definedName name="RR" localSheetId="41">#REF!</definedName>
    <definedName name="RR" localSheetId="43">#REF!</definedName>
    <definedName name="RR">#REF!</definedName>
    <definedName name="RRyr" localSheetId="6">#REF!</definedName>
    <definedName name="RRyr" localSheetId="5">#REF!</definedName>
    <definedName name="RRyr" localSheetId="45">#REF!</definedName>
    <definedName name="RRyr" localSheetId="44">#REF!</definedName>
    <definedName name="RRyr" localSheetId="46">#REF!</definedName>
    <definedName name="RRyr" localSheetId="42">#REF!</definedName>
    <definedName name="RRyr" localSheetId="41">#REF!</definedName>
    <definedName name="RRyr" localSheetId="43">#REF!</definedName>
    <definedName name="RRyr">#REF!</definedName>
    <definedName name="s" localSheetId="6">#REF!</definedName>
    <definedName name="s" localSheetId="5">#REF!</definedName>
    <definedName name="s" localSheetId="45">#REF!</definedName>
    <definedName name="s" localSheetId="44">#REF!</definedName>
    <definedName name="s" localSheetId="46">#REF!</definedName>
    <definedName name="s" localSheetId="42">#REF!</definedName>
    <definedName name="s" localSheetId="41">#REF!</definedName>
    <definedName name="s" localSheetId="43">#REF!</definedName>
    <definedName name="s">#REF!</definedName>
    <definedName name="Salvage_Value1" localSheetId="6">#REF!</definedName>
    <definedName name="Salvage_Value1" localSheetId="5">#REF!</definedName>
    <definedName name="Salvage_Value1" localSheetId="45">#REF!</definedName>
    <definedName name="Salvage_Value1" localSheetId="44">#REF!</definedName>
    <definedName name="Salvage_Value1" localSheetId="46">#REF!</definedName>
    <definedName name="Salvage_Value1" localSheetId="41">#REF!</definedName>
    <definedName name="Salvage_Value1" localSheetId="43">#REF!</definedName>
    <definedName name="Salvage_Value1">#REF!</definedName>
    <definedName name="scen_name1" hidden="1">"NJCP New Jersey Assets Tariff"</definedName>
    <definedName name="scen_name2" hidden="1">"NJCC IRR"</definedName>
    <definedName name="scen_num" hidden="1">2</definedName>
    <definedName name="scen_user1" hidden="1">"Martin A Betancourt"</definedName>
    <definedName name="scen_user2" hidden="1">"Martin A Betancourt"</definedName>
    <definedName name="scen_value1" localSheetId="6" hidden="1">{"50.507178096408"}</definedName>
    <definedName name="scen_value1" localSheetId="5" hidden="1">{"50.507178096408"}</definedName>
    <definedName name="scen_value1" localSheetId="2" hidden="1">{"50.507178096408"}</definedName>
    <definedName name="scen_value1" localSheetId="47" hidden="1">{"50.507178096408"}</definedName>
    <definedName name="scen_value1" localSheetId="45" hidden="1">{"50.507178096408"}</definedName>
    <definedName name="scen_value1" localSheetId="44" hidden="1">{"50.507178096408"}</definedName>
    <definedName name="scen_value1" localSheetId="46" hidden="1">{"50.507178096408"}</definedName>
    <definedName name="scen_value1" hidden="1">{"50.507178096408"}</definedName>
    <definedName name="scen_value2" localSheetId="6" hidden="1">{"48.5260986483797"}</definedName>
    <definedName name="scen_value2" localSheetId="5" hidden="1">{"48.5260986483797"}</definedName>
    <definedName name="scen_value2" localSheetId="2" hidden="1">{"48.5260986483797"}</definedName>
    <definedName name="scen_value2" localSheetId="47" hidden="1">{"48.5260986483797"}</definedName>
    <definedName name="scen_value2" localSheetId="45" hidden="1">{"48.5260986483797"}</definedName>
    <definedName name="scen_value2" localSheetId="44" hidden="1">{"48.5260986483797"}</definedName>
    <definedName name="scen_value2" localSheetId="46" hidden="1">{"48.5260986483797"}</definedName>
    <definedName name="scen_value2" hidden="1">{"48.5260986483797"}</definedName>
    <definedName name="scr" localSheetId="6">#REF!</definedName>
    <definedName name="scr" localSheetId="5">#REF!</definedName>
    <definedName name="scr" localSheetId="45">#REF!</definedName>
    <definedName name="scr" localSheetId="44">#REF!</definedName>
    <definedName name="scr" localSheetId="46">#REF!</definedName>
    <definedName name="scr" localSheetId="42">#REF!</definedName>
    <definedName name="scr" localSheetId="41">#REF!</definedName>
    <definedName name="scr" localSheetId="43">#REF!</definedName>
    <definedName name="scr">#REF!</definedName>
    <definedName name="solver_adj" localSheetId="18" hidden="1">'Reservation Price'!$K$60</definedName>
    <definedName name="solver_adj" localSheetId="45" hidden="1">'S&amp;L BESS - Capital Costs'!$O$19</definedName>
    <definedName name="solver_cvg" localSheetId="18" hidden="1">0.0001</definedName>
    <definedName name="solver_cvg" localSheetId="45" hidden="1">0.0001</definedName>
    <definedName name="solver_cvg" hidden="1">0.0001</definedName>
    <definedName name="solver_drv" localSheetId="18" hidden="1">1</definedName>
    <definedName name="solver_drv" localSheetId="45" hidden="1">2</definedName>
    <definedName name="solver_drv" hidden="1">1</definedName>
    <definedName name="solver_eng" localSheetId="2" hidden="1">1</definedName>
    <definedName name="solver_eng" localSheetId="18" hidden="1">1</definedName>
    <definedName name="solver_eng" localSheetId="45" hidden="1">1</definedName>
    <definedName name="solver_est" localSheetId="18" hidden="1">1</definedName>
    <definedName name="solver_est" localSheetId="45" hidden="1">1</definedName>
    <definedName name="solver_est" hidden="1">1</definedName>
    <definedName name="solver_itr" localSheetId="18" hidden="1">2147483647</definedName>
    <definedName name="solver_itr" localSheetId="45" hidden="1">2147483647</definedName>
    <definedName name="solver_itr" hidden="1">100</definedName>
    <definedName name="solver_lin" hidden="1">2</definedName>
    <definedName name="solver_mip" localSheetId="18" hidden="1">2147483647</definedName>
    <definedName name="solver_mip" localSheetId="45" hidden="1">2147483647</definedName>
    <definedName name="solver_mni" localSheetId="18" hidden="1">30</definedName>
    <definedName name="solver_mni" localSheetId="45" hidden="1">30</definedName>
    <definedName name="solver_mrt" localSheetId="18" hidden="1">0.075</definedName>
    <definedName name="solver_mrt" localSheetId="45" hidden="1">0.075</definedName>
    <definedName name="solver_msl" localSheetId="18" hidden="1">2</definedName>
    <definedName name="solver_msl" localSheetId="45" hidden="1">2</definedName>
    <definedName name="solver_neg" localSheetId="2" hidden="1">1</definedName>
    <definedName name="solver_neg" localSheetId="18" hidden="1">1</definedName>
    <definedName name="solver_neg" localSheetId="45" hidden="1">1</definedName>
    <definedName name="solver_neg" hidden="1">2</definedName>
    <definedName name="solver_nod" localSheetId="18" hidden="1">2147483647</definedName>
    <definedName name="solver_nod" localSheetId="45" hidden="1">2147483647</definedName>
    <definedName name="solver_num" localSheetId="2" hidden="1">0</definedName>
    <definedName name="solver_num" localSheetId="18" hidden="1">0</definedName>
    <definedName name="solver_num" localSheetId="45" hidden="1">0</definedName>
    <definedName name="solver_num" hidden="1">0</definedName>
    <definedName name="solver_nwt" localSheetId="18" hidden="1">1</definedName>
    <definedName name="solver_nwt" localSheetId="45" hidden="1">1</definedName>
    <definedName name="solver_nwt" hidden="1">1</definedName>
    <definedName name="solver_opt" localSheetId="6" hidden="1">#REF!</definedName>
    <definedName name="solver_opt" localSheetId="5" hidden="1">#REF!</definedName>
    <definedName name="solver_opt" localSheetId="2" hidden="1">'Read Me'!$D$79</definedName>
    <definedName name="solver_opt" localSheetId="18" hidden="1">'Reservation Price'!$H$84</definedName>
    <definedName name="solver_opt" localSheetId="47" hidden="1">#REF!</definedName>
    <definedName name="solver_opt" localSheetId="45" hidden="1">'S&amp;L BESS - Capital Costs'!$O$20</definedName>
    <definedName name="solver_opt" localSheetId="44" hidden="1">#REF!</definedName>
    <definedName name="solver_opt" localSheetId="46" hidden="1">#REF!</definedName>
    <definedName name="solver_opt" hidden="1">#REF!</definedName>
    <definedName name="solver_pre" localSheetId="18" hidden="1">0.000001</definedName>
    <definedName name="solver_pre" localSheetId="45" hidden="1">0.000001</definedName>
    <definedName name="solver_pre" hidden="1">0.000001</definedName>
    <definedName name="solver_rbv" localSheetId="18" hidden="1">1</definedName>
    <definedName name="solver_rbv" localSheetId="45" hidden="1">2</definedName>
    <definedName name="solver_rlx" localSheetId="18" hidden="1">2</definedName>
    <definedName name="solver_rlx" localSheetId="45" hidden="1">2</definedName>
    <definedName name="solver_rsd" localSheetId="18" hidden="1">0</definedName>
    <definedName name="solver_rsd" localSheetId="45" hidden="1">0</definedName>
    <definedName name="solver_scl" localSheetId="18" hidden="1">1</definedName>
    <definedName name="solver_scl" localSheetId="45" hidden="1">2</definedName>
    <definedName name="solver_scl" hidden="1">2</definedName>
    <definedName name="solver_sho" localSheetId="18" hidden="1">2</definedName>
    <definedName name="solver_sho" localSheetId="45" hidden="1">2</definedName>
    <definedName name="solver_sho" hidden="1">2</definedName>
    <definedName name="solver_ssz" localSheetId="18" hidden="1">100</definedName>
    <definedName name="solver_ssz" localSheetId="45" hidden="1">100</definedName>
    <definedName name="solver_tim" localSheetId="18" hidden="1">2147483647</definedName>
    <definedName name="solver_tim" localSheetId="45" hidden="1">2147483647</definedName>
    <definedName name="solver_tim" hidden="1">100</definedName>
    <definedName name="solver_tol" localSheetId="18" hidden="1">0.01</definedName>
    <definedName name="solver_tol" localSheetId="45" hidden="1">0.01</definedName>
    <definedName name="solver_tol" hidden="1">0.05</definedName>
    <definedName name="solver_typ" localSheetId="2" hidden="1">1</definedName>
    <definedName name="solver_typ" localSheetId="18" hidden="1">3</definedName>
    <definedName name="solver_typ" localSheetId="45" hidden="1">3</definedName>
    <definedName name="solver_typ" hidden="1">3</definedName>
    <definedName name="solver_val" localSheetId="2" hidden="1">0</definedName>
    <definedName name="solver_val" localSheetId="18" hidden="1">647217027</definedName>
    <definedName name="solver_val" localSheetId="45" hidden="1">52500000</definedName>
    <definedName name="solver_val" hidden="1">16</definedName>
    <definedName name="solver_ver" localSheetId="2" hidden="1">3</definedName>
    <definedName name="solver_ver" localSheetId="18" hidden="1">3</definedName>
    <definedName name="solver_ver" localSheetId="45" hidden="1">3</definedName>
    <definedName name="start_end_dates" localSheetId="6">#REF!</definedName>
    <definedName name="start_end_dates" localSheetId="5">#REF!</definedName>
    <definedName name="start_end_dates" localSheetId="47">#REF!</definedName>
    <definedName name="start_end_dates" localSheetId="45">#REF!</definedName>
    <definedName name="start_end_dates" localSheetId="44">#REF!</definedName>
    <definedName name="start_end_dates" localSheetId="46">#REF!</definedName>
    <definedName name="start_end_dates" localSheetId="42">#REF!</definedName>
    <definedName name="start_end_dates" localSheetId="41">#REF!</definedName>
    <definedName name="start_end_dates" localSheetId="43">#REF!</definedName>
    <definedName name="start_end_dates">#REF!</definedName>
    <definedName name="State_Tax" localSheetId="6">#REF!</definedName>
    <definedName name="State_Tax" localSheetId="5">#REF!</definedName>
    <definedName name="State_Tax" localSheetId="47">#REF!</definedName>
    <definedName name="State_Tax" localSheetId="45">#REF!</definedName>
    <definedName name="State_Tax" localSheetId="44">#REF!</definedName>
    <definedName name="State_Tax" localSheetId="46">#REF!</definedName>
    <definedName name="State_Tax" localSheetId="41">#REF!</definedName>
    <definedName name="State_Tax" localSheetId="43">#REF!</definedName>
    <definedName name="State_Tax">#REF!</definedName>
    <definedName name="STATELIST" localSheetId="6">#REF!</definedName>
    <definedName name="STATELIST" localSheetId="5">#REF!</definedName>
    <definedName name="STATELIST" localSheetId="47">#REF!</definedName>
    <definedName name="STATELIST" localSheetId="45">#REF!</definedName>
    <definedName name="STATELIST" localSheetId="44">#REF!</definedName>
    <definedName name="STATELIST" localSheetId="46">#REF!</definedName>
    <definedName name="STATELIST">#REF!</definedName>
    <definedName name="summary" localSheetId="6" hidden="1">{"Plat Summary",#N/A,FALSE,"PLAT DESIGN"}</definedName>
    <definedName name="summary" localSheetId="5" hidden="1">{"Plat Summary",#N/A,FALSE,"PLAT DESIGN"}</definedName>
    <definedName name="summary" localSheetId="2" hidden="1">{"Plat Summary",#N/A,FALSE,"PLAT DESIGN"}</definedName>
    <definedName name="summary" localSheetId="47" hidden="1">{"Plat Summary",#N/A,FALSE,"PLAT DESIGN"}</definedName>
    <definedName name="summary" localSheetId="45" hidden="1">{"Plat Summary",#N/A,FALSE,"PLAT DESIGN"}</definedName>
    <definedName name="summary" localSheetId="44" hidden="1">{"Plat Summary",#N/A,FALSE,"PLAT DESIGN"}</definedName>
    <definedName name="summary" localSheetId="46" hidden="1">{"Plat Summary",#N/A,FALSE,"PLAT DESIGN"}</definedName>
    <definedName name="summary" hidden="1">{"Plat Summary",#N/A,FALSE,"PLAT DESIGN"}</definedName>
    <definedName name="Tax_Depr" localSheetId="6">#REF!</definedName>
    <definedName name="Tax_Depr" localSheetId="5">#REF!</definedName>
    <definedName name="Tax_Depr" localSheetId="47">#REF!</definedName>
    <definedName name="Tax_Depr" localSheetId="45">#REF!</definedName>
    <definedName name="Tax_Depr" localSheetId="44">#REF!</definedName>
    <definedName name="Tax_Depr" localSheetId="46">#REF!</definedName>
    <definedName name="Tax_Depr" localSheetId="42">#REF!</definedName>
    <definedName name="Tax_Depr" localSheetId="41">#REF!</definedName>
    <definedName name="Tax_Depr" localSheetId="43">#REF!</definedName>
    <definedName name="Tax_Depr">#REF!</definedName>
    <definedName name="Tax_depreciation1" localSheetId="6" hidden="1">{"'Sheet1'!$A$1:$R$155"}</definedName>
    <definedName name="Tax_depreciation1" localSheetId="5" hidden="1">{"'Sheet1'!$A$1:$R$155"}</definedName>
    <definedName name="Tax_depreciation1" localSheetId="2" hidden="1">{"'Sheet1'!$A$1:$R$155"}</definedName>
    <definedName name="Tax_depreciation1" localSheetId="47" hidden="1">{"'Sheet1'!$A$1:$R$155"}</definedName>
    <definedName name="Tax_depreciation1" localSheetId="45" hidden="1">{"'Sheet1'!$A$1:$R$155"}</definedName>
    <definedName name="Tax_depreciation1" localSheetId="44" hidden="1">{"'Sheet1'!$A$1:$R$155"}</definedName>
    <definedName name="Tax_depreciation1" localSheetId="46" hidden="1">{"'Sheet1'!$A$1:$R$155"}</definedName>
    <definedName name="Tax_depreciation1" localSheetId="42" hidden="1">{"'Sheet1'!$A$1:$R$155"}</definedName>
    <definedName name="Tax_depreciation1" localSheetId="41" hidden="1">{"'Sheet1'!$A$1:$R$155"}</definedName>
    <definedName name="Tax_depreciation1" localSheetId="43" hidden="1">{"'Sheet1'!$A$1:$R$155"}</definedName>
    <definedName name="Tax_depreciation1" hidden="1">{"'Sheet1'!$A$1:$R$155"}</definedName>
    <definedName name="Tax_Rate" localSheetId="6">#REF!</definedName>
    <definedName name="Tax_Rate" localSheetId="5">#REF!</definedName>
    <definedName name="Tax_Rate" localSheetId="45">#REF!</definedName>
    <definedName name="Tax_Rate" localSheetId="44">#REF!</definedName>
    <definedName name="Tax_Rate" localSheetId="46">#REF!</definedName>
    <definedName name="Tax_Rate" localSheetId="42">#REF!</definedName>
    <definedName name="Tax_Rate" localSheetId="41">#REF!</definedName>
    <definedName name="Tax_Rate" localSheetId="43">#REF!</definedName>
    <definedName name="Tax_Rate">#REF!</definedName>
    <definedName name="TaxDepr" localSheetId="6">#REF!</definedName>
    <definedName name="TaxDepr" localSheetId="5">#REF!</definedName>
    <definedName name="TaxDepr" localSheetId="45">#REF!</definedName>
    <definedName name="TaxDepr" localSheetId="44">#REF!</definedName>
    <definedName name="TaxDepr" localSheetId="46">#REF!</definedName>
    <definedName name="TaxDepr" localSheetId="42">#REF!</definedName>
    <definedName name="TaxDepr" localSheetId="41">#REF!</definedName>
    <definedName name="TaxDepr" localSheetId="43">#REF!</definedName>
    <definedName name="TaxDepr">#REF!</definedName>
    <definedName name="taxrate" localSheetId="6">#REF!</definedName>
    <definedName name="taxrate" localSheetId="5">#REF!</definedName>
    <definedName name="taxrate" localSheetId="45">#REF!</definedName>
    <definedName name="taxrate" localSheetId="44">#REF!</definedName>
    <definedName name="taxrate" localSheetId="46">#REF!</definedName>
    <definedName name="taxrate" localSheetId="41">#REF!</definedName>
    <definedName name="taxrate" localSheetId="43">#REF!</definedName>
    <definedName name="taxrate">#REF!</definedName>
    <definedName name="TaxRate1" localSheetId="6">#REF!</definedName>
    <definedName name="TaxRate1" localSheetId="5">#REF!</definedName>
    <definedName name="TaxRate1" localSheetId="45">#REF!</definedName>
    <definedName name="TaxRate1" localSheetId="44">#REF!</definedName>
    <definedName name="TaxRate1" localSheetId="46">#REF!</definedName>
    <definedName name="TaxRate1" localSheetId="42">#REF!</definedName>
    <definedName name="TaxRate1" localSheetId="41">#REF!</definedName>
    <definedName name="TaxRate1" localSheetId="43">#REF!</definedName>
    <definedName name="TaxRate1">#REF!</definedName>
    <definedName name="Tech" localSheetId="6">#REF!</definedName>
    <definedName name="Tech" localSheetId="5">#REF!</definedName>
    <definedName name="Tech" localSheetId="45">#REF!</definedName>
    <definedName name="Tech" localSheetId="44">#REF!</definedName>
    <definedName name="Tech" localSheetId="46">#REF!</definedName>
    <definedName name="Tech" localSheetId="42">#REF!</definedName>
    <definedName name="Tech" localSheetId="41">#REF!</definedName>
    <definedName name="Tech" localSheetId="43">#REF!</definedName>
    <definedName name="Tech">#REF!</definedName>
    <definedName name="Technology" localSheetId="47">#REF!</definedName>
    <definedName name="Technology" localSheetId="45">#REF!</definedName>
    <definedName name="Technology" localSheetId="44">#REF!</definedName>
    <definedName name="Technology" localSheetId="46">#REF!</definedName>
    <definedName name="Technology" localSheetId="42">#REF!</definedName>
    <definedName name="Technology" localSheetId="41">#REF!</definedName>
    <definedName name="Technology" localSheetId="43">#REF!</definedName>
    <definedName name="Technology">'Working Cap and Tax Rates'!$F$6</definedName>
    <definedName name="techs" localSheetId="6">#REF!</definedName>
    <definedName name="techs" localSheetId="5">#REF!</definedName>
    <definedName name="techs" localSheetId="45">#REF!</definedName>
    <definedName name="techs" localSheetId="44">#REF!</definedName>
    <definedName name="techs" localSheetId="46">#REF!</definedName>
    <definedName name="techs" localSheetId="42">#REF!</definedName>
    <definedName name="techs" localSheetId="41">#REF!</definedName>
    <definedName name="techs" localSheetId="43">#REF!</definedName>
    <definedName name="techs">#REF!</definedName>
    <definedName name="Techs1" localSheetId="6">#REF!</definedName>
    <definedName name="Techs1" localSheetId="5">#REF!</definedName>
    <definedName name="Techs1" localSheetId="45">#REF!</definedName>
    <definedName name="Techs1" localSheetId="44">#REF!</definedName>
    <definedName name="Techs1" localSheetId="46">#REF!</definedName>
    <definedName name="Techs1" localSheetId="41">#REF!</definedName>
    <definedName name="Techs1" localSheetId="43">#REF!</definedName>
    <definedName name="Techs1">#REF!</definedName>
    <definedName name="Teff" localSheetId="6">#REF!</definedName>
    <definedName name="Teff" localSheetId="5">#REF!</definedName>
    <definedName name="Teff" localSheetId="45">#REF!</definedName>
    <definedName name="Teff" localSheetId="44">#REF!</definedName>
    <definedName name="Teff" localSheetId="46">#REF!</definedName>
    <definedName name="Teff" localSheetId="41">#REF!</definedName>
    <definedName name="Teff" localSheetId="43">#REF!</definedName>
    <definedName name="Teff">#REF!</definedName>
    <definedName name="Teff1" localSheetId="6">#REF!</definedName>
    <definedName name="Teff1" localSheetId="5">#REF!</definedName>
    <definedName name="Teff1" localSheetId="45">#REF!</definedName>
    <definedName name="Teff1" localSheetId="44">#REF!</definedName>
    <definedName name="Teff1" localSheetId="46">#REF!</definedName>
    <definedName name="Teff1" localSheetId="41">#REF!</definedName>
    <definedName name="Teff1" localSheetId="43">#REF!</definedName>
    <definedName name="Teff1">#REF!</definedName>
    <definedName name="total_cost1" localSheetId="6">#REF!</definedName>
    <definedName name="total_cost1" localSheetId="5">#REF!</definedName>
    <definedName name="total_cost1" localSheetId="45">#REF!</definedName>
    <definedName name="total_cost1" localSheetId="44">#REF!</definedName>
    <definedName name="total_cost1" localSheetId="46">#REF!</definedName>
    <definedName name="total_cost1" localSheetId="41">#REF!</definedName>
    <definedName name="total_cost1" localSheetId="43">#REF!</definedName>
    <definedName name="total_cost1">#REF!</definedName>
    <definedName name="total_cost2" localSheetId="6">#REF!</definedName>
    <definedName name="total_cost2" localSheetId="5">#REF!</definedName>
    <definedName name="total_cost2" localSheetId="45">#REF!</definedName>
    <definedName name="total_cost2" localSheetId="44">#REF!</definedName>
    <definedName name="total_cost2" localSheetId="46">#REF!</definedName>
    <definedName name="total_cost2" localSheetId="41">#REF!</definedName>
    <definedName name="total_cost2" localSheetId="43">#REF!</definedName>
    <definedName name="total_cost2">#REF!</definedName>
    <definedName name="totalcost" localSheetId="6">#REF!</definedName>
    <definedName name="totalcost" localSheetId="5">#REF!</definedName>
    <definedName name="totalcost" localSheetId="45">#REF!</definedName>
    <definedName name="totalcost" localSheetId="44">#REF!</definedName>
    <definedName name="totalcost" localSheetId="46">#REF!</definedName>
    <definedName name="totalcost" localSheetId="41">#REF!</definedName>
    <definedName name="totalcost" localSheetId="43">#REF!</definedName>
    <definedName name="totalcost">#REF!</definedName>
    <definedName name="Working_Capital_Sensitivity1" localSheetId="6">#REF!</definedName>
    <definedName name="Working_Capital_Sensitivity1" localSheetId="5">#REF!</definedName>
    <definedName name="Working_Capital_Sensitivity1" localSheetId="45">#REF!</definedName>
    <definedName name="Working_Capital_Sensitivity1" localSheetId="44">#REF!</definedName>
    <definedName name="Working_Capital_Sensitivity1" localSheetId="46">#REF!</definedName>
    <definedName name="Working_Capital_Sensitivity1">#REF!</definedName>
    <definedName name="wrkcap_sensitivity1" localSheetId="6">#REF!</definedName>
    <definedName name="wrkcap_sensitivity1" localSheetId="5">#REF!</definedName>
    <definedName name="wrkcap_sensitivity1" localSheetId="45">#REF!</definedName>
    <definedName name="wrkcap_sensitivity1" localSheetId="44">#REF!</definedName>
    <definedName name="wrkcap_sensitivity1" localSheetId="46">#REF!</definedName>
    <definedName name="wrkcap_sensitivity1">#REF!</definedName>
    <definedName name="wrkcap_split1" localSheetId="6">#REF!</definedName>
    <definedName name="wrkcap_split1" localSheetId="5">#REF!</definedName>
    <definedName name="wrkcap_split1" localSheetId="45">#REF!</definedName>
    <definedName name="wrkcap_split1" localSheetId="44">#REF!</definedName>
    <definedName name="wrkcap_split1" localSheetId="46">#REF!</definedName>
    <definedName name="wrkcap_split1">#REF!</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localSheetId="5" hidden="1">{#N/A,#N/A,FALSE,"Summary";#N/A,#N/A,FALSE,"Assumptions";#N/A,#N/A,FALSE,"Initial Construction Budget";#N/A,#N/A,FALSE,"Sensitivity";#N/A,#N/A,FALSE,"Construction Phase";#N/A,#N/A,FALSE,"Rev. &amp; Costs - Cal. Yr";#N/A,#N/A,FALSE,"Cashflow Cal. Yr";#N/A,#N/A,FALSE,"P&amp;L+BS"}</definedName>
    <definedName name="wrn.Impression._.FC1." localSheetId="2" hidden="1">{#N/A,#N/A,FALSE,"Summary";#N/A,#N/A,FALSE,"Assumptions";#N/A,#N/A,FALSE,"Initial Construction Budget";#N/A,#N/A,FALSE,"Sensitivity";#N/A,#N/A,FALSE,"Construction Phase";#N/A,#N/A,FALSE,"Rev. &amp; Costs - Cal. Yr";#N/A,#N/A,FALSE,"Cashflow Cal. Yr";#N/A,#N/A,FALSE,"P&amp;L+BS"}</definedName>
    <definedName name="wrn.Impression._.FC1." localSheetId="47" hidden="1">{#N/A,#N/A,FALSE,"Summary";#N/A,#N/A,FALSE,"Assumptions";#N/A,#N/A,FALSE,"Initial Construction Budget";#N/A,#N/A,FALSE,"Sensitivity";#N/A,#N/A,FALSE,"Construction Phase";#N/A,#N/A,FALSE,"Rev. &amp; Costs - Cal. Yr";#N/A,#N/A,FALSE,"Cashflow Cal. Yr";#N/A,#N/A,FALSE,"P&amp;L+BS"}</definedName>
    <definedName name="wrn.Impression._.FC1." localSheetId="45" hidden="1">{#N/A,#N/A,FALSE,"Summary";#N/A,#N/A,FALSE,"Assumptions";#N/A,#N/A,FALSE,"Initial Construction Budget";#N/A,#N/A,FALSE,"Sensitivity";#N/A,#N/A,FALSE,"Construction Phase";#N/A,#N/A,FALSE,"Rev. &amp; Costs - Cal. Yr";#N/A,#N/A,FALSE,"Cashflow Cal. Yr";#N/A,#N/A,FALSE,"P&amp;L+BS"}</definedName>
    <definedName name="wrn.Impression._.FC1." localSheetId="44" hidden="1">{#N/A,#N/A,FALSE,"Summary";#N/A,#N/A,FALSE,"Assumptions";#N/A,#N/A,FALSE,"Initial Construction Budget";#N/A,#N/A,FALSE,"Sensitivity";#N/A,#N/A,FALSE,"Construction Phase";#N/A,#N/A,FALSE,"Rev. &amp; Costs - Cal. Yr";#N/A,#N/A,FALSE,"Cashflow Cal. Yr";#N/A,#N/A,FALSE,"P&amp;L+BS"}</definedName>
    <definedName name="wrn.Impression._.FC1." localSheetId="4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6" hidden="1">{#N/A,#N/A,TRUE,"Summary";#N/A,#N/A,TRUE,"Assumptions";#N/A,#N/A,TRUE,"Economic Assumptions";#N/A,#N/A,TRUE,"Technical Assumptions";#N/A,#N/A,TRUE,"Construction Phase";#N/A,#N/A,TRUE,"VAT";#N/A,#N/A,TRUE,"Rev. &amp; Costs ";#N/A,#N/A,TRUE,"Debt ";#N/A,#N/A,TRUE,"Tax ";#N/A,#N/A,TRUE,"P&amp;L+BS ";#N/A,#N/A,TRUE,"Cashflow"}</definedName>
    <definedName name="wrn.Impression._.globale." localSheetId="5" hidden="1">{#N/A,#N/A,TRUE,"Summary";#N/A,#N/A,TRUE,"Assumptions";#N/A,#N/A,TRUE,"Economic Assumptions";#N/A,#N/A,TRUE,"Technical Assumptions";#N/A,#N/A,TRUE,"Construction Phase";#N/A,#N/A,TRUE,"VAT";#N/A,#N/A,TRUE,"Rev. &amp; Costs ";#N/A,#N/A,TRUE,"Debt ";#N/A,#N/A,TRUE,"Tax ";#N/A,#N/A,TRUE,"P&amp;L+BS ";#N/A,#N/A,TRUE,"Cashflow"}</definedName>
    <definedName name="wrn.Impression._.globale." localSheetId="2" hidden="1">{#N/A,#N/A,TRUE,"Summary";#N/A,#N/A,TRUE,"Assumptions";#N/A,#N/A,TRUE,"Economic Assumptions";#N/A,#N/A,TRUE,"Technical Assumptions";#N/A,#N/A,TRUE,"Construction Phase";#N/A,#N/A,TRUE,"VAT";#N/A,#N/A,TRUE,"Rev. &amp; Costs ";#N/A,#N/A,TRUE,"Debt ";#N/A,#N/A,TRUE,"Tax ";#N/A,#N/A,TRUE,"P&amp;L+BS ";#N/A,#N/A,TRUE,"Cashflow"}</definedName>
    <definedName name="wrn.Impression._.globale." localSheetId="47" hidden="1">{#N/A,#N/A,TRUE,"Summary";#N/A,#N/A,TRUE,"Assumptions";#N/A,#N/A,TRUE,"Economic Assumptions";#N/A,#N/A,TRUE,"Technical Assumptions";#N/A,#N/A,TRUE,"Construction Phase";#N/A,#N/A,TRUE,"VAT";#N/A,#N/A,TRUE,"Rev. &amp; Costs ";#N/A,#N/A,TRUE,"Debt ";#N/A,#N/A,TRUE,"Tax ";#N/A,#N/A,TRUE,"P&amp;L+BS ";#N/A,#N/A,TRUE,"Cashflow"}</definedName>
    <definedName name="wrn.Impression._.globale." localSheetId="45" hidden="1">{#N/A,#N/A,TRUE,"Summary";#N/A,#N/A,TRUE,"Assumptions";#N/A,#N/A,TRUE,"Economic Assumptions";#N/A,#N/A,TRUE,"Technical Assumptions";#N/A,#N/A,TRUE,"Construction Phase";#N/A,#N/A,TRUE,"VAT";#N/A,#N/A,TRUE,"Rev. &amp; Costs ";#N/A,#N/A,TRUE,"Debt ";#N/A,#N/A,TRUE,"Tax ";#N/A,#N/A,TRUE,"P&amp;L+BS ";#N/A,#N/A,TRUE,"Cashflow"}</definedName>
    <definedName name="wrn.Impression._.globale." localSheetId="44" hidden="1">{#N/A,#N/A,TRUE,"Summary";#N/A,#N/A,TRUE,"Assumptions";#N/A,#N/A,TRUE,"Economic Assumptions";#N/A,#N/A,TRUE,"Technical Assumptions";#N/A,#N/A,TRUE,"Construction Phase";#N/A,#N/A,TRUE,"VAT";#N/A,#N/A,TRUE,"Rev. &amp; Costs ";#N/A,#N/A,TRUE,"Debt ";#N/A,#N/A,TRUE,"Tax ";#N/A,#N/A,TRUE,"P&amp;L+BS ";#N/A,#N/A,TRUE,"Cashflow"}</definedName>
    <definedName name="wrn.Impression._.globale." localSheetId="46" hidden="1">{#N/A,#N/A,TRUE,"Summary";#N/A,#N/A,TRUE,"Assumptions";#N/A,#N/A,TRUE,"Economic Assumptions";#N/A,#N/A,TRUE,"Technical Assumptions";#N/A,#N/A,TRUE,"Construction Phase";#N/A,#N/A,TRUE,"VAT";#N/A,#N/A,TRUE,"Rev. &amp; Costs ";#N/A,#N/A,TRUE,"Debt ";#N/A,#N/A,TRUE,"Tax ";#N/A,#N/A,TRUE,"P&amp;L+BS ";#N/A,#N/A,TRUE,"Cashflow"}</definedName>
    <definedName name="wrn.Impression._.globale." hidden="1">{#N/A,#N/A,TRUE,"Summary";#N/A,#N/A,TRUE,"Assumptions";#N/A,#N/A,TRUE,"Economic Assumptions";#N/A,#N/A,TRUE,"Technical Assumptions";#N/A,#N/A,TRUE,"Construction Phase";#N/A,#N/A,TRUE,"VAT";#N/A,#N/A,TRUE,"Rev. &amp; Costs ";#N/A,#N/A,TRUE,"Debt ";#N/A,#N/A,TRUE,"Tax ";#N/A,#N/A,TRUE,"P&amp;L+BS ";#N/A,#N/A,TRUE,"Cashflow"}</definedName>
    <definedName name="wrn.Summary." localSheetId="6" hidden="1">{#N/A,#N/A,FALSE,"Summary";#N/A,#N/A,FALSE,"Assumptions";#N/A,#N/A,FALSE,"Cashflow-Op. Y"}</definedName>
    <definedName name="wrn.Summary." localSheetId="5" hidden="1">{#N/A,#N/A,FALSE,"Summary";#N/A,#N/A,FALSE,"Assumptions";#N/A,#N/A,FALSE,"Cashflow-Op. Y"}</definedName>
    <definedName name="wrn.Summary." localSheetId="2" hidden="1">{#N/A,#N/A,FALSE,"Summary";#N/A,#N/A,FALSE,"Assumptions";#N/A,#N/A,FALSE,"Cashflow-Op. Y"}</definedName>
    <definedName name="wrn.Summary." localSheetId="47" hidden="1">{#N/A,#N/A,FALSE,"Summary";#N/A,#N/A,FALSE,"Assumptions";#N/A,#N/A,FALSE,"Cashflow-Op. Y"}</definedName>
    <definedName name="wrn.Summary." localSheetId="45" hidden="1">{#N/A,#N/A,FALSE,"Summary";#N/A,#N/A,FALSE,"Assumptions";#N/A,#N/A,FALSE,"Cashflow-Op. Y"}</definedName>
    <definedName name="wrn.Summary." localSheetId="44" hidden="1">{#N/A,#N/A,FALSE,"Summary";#N/A,#N/A,FALSE,"Assumptions";#N/A,#N/A,FALSE,"Cashflow-Op. Y"}</definedName>
    <definedName name="wrn.Summary." localSheetId="46" hidden="1">{#N/A,#N/A,FALSE,"Summary";#N/A,#N/A,FALSE,"Assumptions";#N/A,#N/A,FALSE,"Cashflow-Op. Y"}</definedName>
    <definedName name="wrn.Summary." hidden="1">{#N/A,#N/A,FALSE,"Summary";#N/A,#N/A,FALSE,"Assumptions";#N/A,#N/A,FALSE,"Cashflow-Op. Y"}</definedName>
    <definedName name="xxx" localSheetId="6">#REF!</definedName>
    <definedName name="xxx" localSheetId="5">#REF!</definedName>
    <definedName name="xxx" localSheetId="47">#REF!</definedName>
    <definedName name="xxx" localSheetId="45">#REF!</definedName>
    <definedName name="xxx" localSheetId="44">#REF!</definedName>
    <definedName name="xxx" localSheetId="46">#REF!</definedName>
    <definedName name="xxx" localSheetId="42">#REF!</definedName>
    <definedName name="xxx" localSheetId="41">#REF!</definedName>
    <definedName name="xxx" localSheetId="43">#REF!</definedName>
    <definedName name="xxx">#REF!</definedName>
    <definedName name="Year" localSheetId="6">#REF!</definedName>
    <definedName name="Year" localSheetId="5">#REF!</definedName>
    <definedName name="Year" localSheetId="47">#REF!</definedName>
    <definedName name="Year" localSheetId="45">#REF!</definedName>
    <definedName name="Year" localSheetId="44">#REF!</definedName>
    <definedName name="Year" localSheetId="46">#REF!</definedName>
    <definedName name="Year" localSheetId="42">#REF!</definedName>
    <definedName name="Year" localSheetId="41">#REF!</definedName>
    <definedName name="Year" localSheetId="43">#REF!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D54" i="32"/>
  <c r="D86" i="42"/>
  <c r="D84" i="42"/>
  <c r="D83" i="42"/>
  <c r="D86" i="65"/>
  <c r="I13" i="132"/>
  <c r="O17" i="1" l="1" a="1"/>
  <c r="O17" i="1" s="1"/>
  <c r="D33" i="68"/>
  <c r="D38" i="103"/>
  <c r="D37" i="103"/>
  <c r="H51" i="1" l="1"/>
  <c r="I12" i="56"/>
  <c r="D12" i="56"/>
  <c r="H21" i="43"/>
  <c r="D21" i="43"/>
  <c r="D11" i="104"/>
  <c r="F11" i="104"/>
  <c r="L34" i="67"/>
  <c r="S34" i="67" s="1"/>
  <c r="M34" i="67"/>
  <c r="T34" i="67" s="1"/>
  <c r="N34" i="67"/>
  <c r="U34" i="67" s="1"/>
  <c r="O34" i="67"/>
  <c r="V34" i="67" s="1"/>
  <c r="K34" i="67"/>
  <c r="H11" i="68" s="1"/>
  <c r="L34" i="40"/>
  <c r="S34" i="40" s="1"/>
  <c r="M34" i="40"/>
  <c r="T34" i="40" s="1"/>
  <c r="N34" i="40"/>
  <c r="U34" i="40" s="1"/>
  <c r="O34" i="40"/>
  <c r="V34" i="40" s="1"/>
  <c r="K34" i="40"/>
  <c r="H11" i="48" s="1"/>
  <c r="R34" i="67" l="1"/>
  <c r="R34" i="40"/>
  <c r="R24" i="70"/>
  <c r="D24" i="70" s="1"/>
  <c r="S23" i="50"/>
  <c r="D23" i="50" s="1"/>
  <c r="S29" i="45"/>
  <c r="D29" i="45" s="1"/>
  <c r="S27" i="45"/>
  <c r="D27" i="45" s="1"/>
  <c r="S43" i="69"/>
  <c r="D43" i="69" s="1"/>
  <c r="D35" i="47"/>
  <c r="D33" i="48"/>
  <c r="J93" i="1"/>
  <c r="K93" i="1"/>
  <c r="L93" i="1"/>
  <c r="M93" i="1"/>
  <c r="I93" i="1"/>
  <c r="H56" i="1"/>
  <c r="H55" i="1"/>
  <c r="H45" i="1"/>
  <c r="I11" i="104" l="1"/>
  <c r="J11" i="104"/>
  <c r="H11" i="104"/>
  <c r="D9" i="132"/>
  <c r="D10" i="103"/>
  <c r="D39" i="103" s="1"/>
  <c r="I30" i="1"/>
  <c r="L25" i="68"/>
  <c r="I22" i="132" l="1"/>
  <c r="I21" i="132"/>
  <c r="E21" i="103"/>
  <c r="E23" i="103"/>
  <c r="D15" i="40" l="1"/>
  <c r="D15" i="67"/>
  <c r="D15" i="41"/>
  <c r="H15" i="41" s="1"/>
  <c r="F8" i="39"/>
  <c r="D26" i="39" s="1"/>
  <c r="O43" i="81"/>
  <c r="N43" i="81"/>
  <c r="M43" i="81"/>
  <c r="L43" i="81"/>
  <c r="K43" i="81"/>
  <c r="A9" i="39" l="1"/>
  <c r="F9" i="39" l="1"/>
  <c r="A12" i="39"/>
  <c r="O60" i="130"/>
  <c r="P60" i="130"/>
  <c r="J20" i="103"/>
  <c r="J19" i="103"/>
  <c r="J23" i="103" l="1"/>
  <c r="J24" i="103"/>
  <c r="J25" i="103"/>
  <c r="L19" i="131"/>
  <c r="H24" i="103"/>
  <c r="E10" i="131"/>
  <c r="F1" i="131"/>
  <c r="I30" i="132"/>
  <c r="G30" i="132"/>
  <c r="F30" i="132"/>
  <c r="I29" i="132"/>
  <c r="G29" i="132"/>
  <c r="F29" i="132"/>
  <c r="I28" i="132"/>
  <c r="G28" i="132"/>
  <c r="F28" i="132"/>
  <c r="I26" i="132"/>
  <c r="G26" i="132"/>
  <c r="F26" i="132"/>
  <c r="I25" i="132"/>
  <c r="G25" i="132"/>
  <c r="F25" i="132"/>
  <c r="I24" i="132"/>
  <c r="G24" i="132"/>
  <c r="F24" i="132"/>
  <c r="H16" i="103"/>
  <c r="G22" i="132"/>
  <c r="F16" i="103" s="1"/>
  <c r="F22" i="132"/>
  <c r="E16" i="103" s="1"/>
  <c r="H15" i="103"/>
  <c r="G21" i="132"/>
  <c r="F15" i="103" s="1"/>
  <c r="F21" i="132"/>
  <c r="E15" i="103" s="1"/>
  <c r="E24" i="103" s="1"/>
  <c r="I20" i="132"/>
  <c r="H14" i="103" s="1"/>
  <c r="G20" i="132"/>
  <c r="F14" i="103" s="1"/>
  <c r="F20" i="132"/>
  <c r="E14" i="103" s="1"/>
  <c r="I18" i="132"/>
  <c r="G18" i="132"/>
  <c r="F18" i="132"/>
  <c r="I17" i="132"/>
  <c r="G17" i="132"/>
  <c r="F17" i="132"/>
  <c r="I16" i="132"/>
  <c r="G16" i="132"/>
  <c r="F16" i="132"/>
  <c r="I14" i="132"/>
  <c r="I12" i="132"/>
  <c r="G14" i="132"/>
  <c r="G13" i="132"/>
  <c r="G12" i="132"/>
  <c r="F14" i="132"/>
  <c r="F13" i="132"/>
  <c r="F12" i="132"/>
  <c r="A9" i="44"/>
  <c r="B9" i="44" s="1"/>
  <c r="J9" i="44" s="1"/>
  <c r="D4" i="132" s="1"/>
  <c r="F8" i="132"/>
  <c r="G1" i="132"/>
  <c r="G8" i="132" s="1"/>
  <c r="L24" i="103"/>
  <c r="L23" i="103"/>
  <c r="G23" i="103"/>
  <c r="F22" i="103"/>
  <c r="E22" i="103"/>
  <c r="L22" i="103"/>
  <c r="L19" i="103"/>
  <c r="L20" i="103"/>
  <c r="L21" i="103"/>
  <c r="F21" i="103"/>
  <c r="G21" i="103" s="1"/>
  <c r="A10" i="44" l="1"/>
  <c r="A11" i="44" s="1"/>
  <c r="A12" i="44" s="1"/>
  <c r="A13" i="44" s="1"/>
  <c r="A14" i="44" s="1"/>
  <c r="A15" i="44" s="1"/>
  <c r="A16" i="44" s="1"/>
  <c r="A17" i="44" s="1"/>
  <c r="A18" i="44" s="1"/>
  <c r="A21" i="44" s="1"/>
  <c r="J1" i="131"/>
  <c r="I10" i="131" s="1"/>
  <c r="F10" i="131"/>
  <c r="H20" i="132"/>
  <c r="J20" i="132" s="1"/>
  <c r="H29" i="132"/>
  <c r="J29" i="132" s="1"/>
  <c r="H25" i="132"/>
  <c r="J25" i="132" s="1"/>
  <c r="H24" i="132"/>
  <c r="J24" i="132" s="1"/>
  <c r="H16" i="132"/>
  <c r="J16" i="132" s="1"/>
  <c r="H22" i="132"/>
  <c r="J22" i="132" s="1"/>
  <c r="H17" i="132"/>
  <c r="J17" i="132" s="1"/>
  <c r="H18" i="132"/>
  <c r="J18" i="132" s="1"/>
  <c r="H21" i="132"/>
  <c r="J21" i="132" s="1"/>
  <c r="H26" i="132"/>
  <c r="J26" i="132" s="1"/>
  <c r="H28" i="132"/>
  <c r="J28" i="132" s="1"/>
  <c r="H30" i="132"/>
  <c r="J30" i="132" s="1"/>
  <c r="H12" i="132"/>
  <c r="J12" i="132" s="1"/>
  <c r="H13" i="132"/>
  <c r="J13" i="132" s="1"/>
  <c r="H14" i="132"/>
  <c r="J14" i="132" s="1"/>
  <c r="H1" i="132"/>
  <c r="G22" i="103"/>
  <c r="B21" i="44" l="1"/>
  <c r="J21" i="44" s="1"/>
  <c r="D4" i="131" s="1"/>
  <c r="D3" i="131" s="1"/>
  <c r="A22" i="44"/>
  <c r="B22" i="44" s="1"/>
  <c r="L1" i="131"/>
  <c r="L10" i="131" s="1"/>
  <c r="H8" i="132"/>
  <c r="I1" i="132"/>
  <c r="N1" i="131" l="1"/>
  <c r="N10" i="131" s="1"/>
  <c r="D36" i="132"/>
  <c r="I8" i="132"/>
  <c r="J1" i="132"/>
  <c r="J8" i="132" l="1"/>
  <c r="D37" i="132" l="1"/>
  <c r="A12" i="48" l="1" a="1"/>
  <c r="A12" i="48" s="1"/>
  <c r="Z19" i="43"/>
  <c r="A11" i="68" l="1" a="1"/>
  <c r="A11" i="68" s="1"/>
  <c r="A12" i="68" s="1" a="1"/>
  <c r="A12" i="68" s="1"/>
  <c r="J90" i="1" l="1"/>
  <c r="K90" i="1"/>
  <c r="L90" i="1"/>
  <c r="M90" i="1"/>
  <c r="I90" i="1"/>
  <c r="E25" i="103"/>
  <c r="F11" i="48" l="1"/>
  <c r="L45" i="81"/>
  <c r="M45" i="81"/>
  <c r="N45" i="81"/>
  <c r="O45" i="81"/>
  <c r="K45" i="81"/>
  <c r="G45" i="81"/>
  <c r="H45" i="81"/>
  <c r="I45" i="81"/>
  <c r="J45" i="81"/>
  <c r="F45" i="81"/>
  <c r="BF13" i="30"/>
  <c r="N17" i="131" l="1"/>
  <c r="N18" i="131"/>
  <c r="N19" i="131"/>
  <c r="F19" i="131" s="1"/>
  <c r="L18" i="131" l="1"/>
  <c r="L17" i="131"/>
  <c r="L60" i="130"/>
  <c r="R18" i="131" l="1"/>
  <c r="P18" i="131"/>
  <c r="Q18" i="131"/>
  <c r="Q17" i="131"/>
  <c r="P17" i="131"/>
  <c r="R17" i="131"/>
  <c r="R19" i="131"/>
  <c r="Q19" i="131"/>
  <c r="P19" i="131"/>
  <c r="E131" i="130"/>
  <c r="E130" i="130"/>
  <c r="E129" i="130"/>
  <c r="D58" i="130"/>
  <c r="D56" i="130"/>
  <c r="D55" i="130"/>
  <c r="G49" i="130"/>
  <c r="E31" i="130"/>
  <c r="D31" i="130"/>
  <c r="E30" i="130"/>
  <c r="D30" i="130"/>
  <c r="E29" i="130"/>
  <c r="D29" i="130"/>
  <c r="I29" i="130" s="1"/>
  <c r="D28" i="130"/>
  <c r="E27" i="130"/>
  <c r="D27" i="130"/>
  <c r="E26" i="130"/>
  <c r="D26" i="130"/>
  <c r="E25" i="130"/>
  <c r="D25" i="130"/>
  <c r="D17" i="130"/>
  <c r="D13" i="130"/>
  <c r="I12" i="130"/>
  <c r="D11" i="130"/>
  <c r="I11" i="130" s="1"/>
  <c r="D8" i="130"/>
  <c r="A8" i="130"/>
  <c r="F8" i="130" s="1"/>
  <c r="D70" i="42"/>
  <c r="A11" i="130" l="1"/>
  <c r="A12" i="130"/>
  <c r="F12" i="130" s="1"/>
  <c r="F11" i="130"/>
  <c r="D114" i="130"/>
  <c r="BF12" i="30"/>
  <c r="A13" i="130" l="1"/>
  <c r="BF11" i="30"/>
  <c r="F13" i="130" l="1"/>
  <c r="A14" i="130"/>
  <c r="O53" i="81"/>
  <c r="N53" i="81"/>
  <c r="M53" i="81"/>
  <c r="L53" i="81"/>
  <c r="K53" i="81"/>
  <c r="J53" i="81"/>
  <c r="I53" i="81"/>
  <c r="H53" i="81"/>
  <c r="G53" i="81"/>
  <c r="F53" i="81"/>
  <c r="J58" i="81"/>
  <c r="I58" i="81"/>
  <c r="H58" i="81"/>
  <c r="G58" i="81"/>
  <c r="F58" i="81"/>
  <c r="A16" i="130" l="1"/>
  <c r="F14" i="130"/>
  <c r="A17" i="130" l="1"/>
  <c r="F16" i="130"/>
  <c r="AJ27" i="73"/>
  <c r="AK27" i="73"/>
  <c r="AL27" i="73"/>
  <c r="AM27" i="73"/>
  <c r="AN27" i="73"/>
  <c r="AO27" i="73"/>
  <c r="AP27" i="73"/>
  <c r="AQ27" i="73"/>
  <c r="AR27" i="73"/>
  <c r="AS27" i="73"/>
  <c r="AI27" i="73"/>
  <c r="AV27" i="73"/>
  <c r="W27" i="73"/>
  <c r="X27" i="73"/>
  <c r="Y27" i="73"/>
  <c r="Z27" i="73"/>
  <c r="AA27" i="73"/>
  <c r="AB27" i="73"/>
  <c r="AC27" i="73"/>
  <c r="AD27" i="73"/>
  <c r="AE27" i="73"/>
  <c r="AF27" i="73"/>
  <c r="AG27" i="73"/>
  <c r="V27" i="73"/>
  <c r="J27" i="73"/>
  <c r="K27" i="73"/>
  <c r="L27" i="73"/>
  <c r="M27" i="73"/>
  <c r="N27" i="73"/>
  <c r="O27" i="73"/>
  <c r="P27" i="73"/>
  <c r="Q27" i="73"/>
  <c r="R27" i="73"/>
  <c r="S27" i="73"/>
  <c r="I27" i="73"/>
  <c r="AJ40" i="73"/>
  <c r="AK1" i="73"/>
  <c r="AK40" i="73" s="1"/>
  <c r="D40" i="73"/>
  <c r="E1" i="73"/>
  <c r="R21" i="70"/>
  <c r="D21" i="70" s="1"/>
  <c r="S21" i="50"/>
  <c r="D21" i="50" s="1"/>
  <c r="F17" i="130" l="1"/>
  <c r="A18" i="130"/>
  <c r="AL1" i="73"/>
  <c r="AM1" i="73" s="1"/>
  <c r="E40" i="73"/>
  <c r="G1" i="73"/>
  <c r="G40" i="73" s="1"/>
  <c r="F18" i="130" l="1"/>
  <c r="A20" i="130"/>
  <c r="AM40" i="73"/>
  <c r="AN1" i="73"/>
  <c r="AN40" i="73" s="1"/>
  <c r="AL40" i="73"/>
  <c r="I1" i="73"/>
  <c r="I40" i="73" s="1"/>
  <c r="K26" i="72"/>
  <c r="K25" i="72"/>
  <c r="F20" i="130" l="1"/>
  <c r="D91" i="130" s="1"/>
  <c r="A21" i="130"/>
  <c r="J1" i="73"/>
  <c r="K1" i="73" s="1"/>
  <c r="K40" i="73" s="1"/>
  <c r="AO1" i="73"/>
  <c r="H46" i="102"/>
  <c r="I46" i="102"/>
  <c r="J46" i="102"/>
  <c r="K46" i="102"/>
  <c r="H47" i="102"/>
  <c r="I47" i="102"/>
  <c r="J47" i="102"/>
  <c r="K47" i="102"/>
  <c r="H48" i="102"/>
  <c r="I48" i="102"/>
  <c r="J48" i="102"/>
  <c r="K48" i="102"/>
  <c r="H49" i="102"/>
  <c r="I49" i="102"/>
  <c r="J49" i="102"/>
  <c r="K49" i="102"/>
  <c r="H50" i="102"/>
  <c r="I50" i="102"/>
  <c r="J50" i="102"/>
  <c r="K50" i="102"/>
  <c r="G50" i="102"/>
  <c r="G49" i="102"/>
  <c r="G48" i="102"/>
  <c r="G47" i="102"/>
  <c r="G46" i="102"/>
  <c r="F21" i="130" l="1"/>
  <c r="A22" i="130"/>
  <c r="J40" i="73"/>
  <c r="L1" i="73"/>
  <c r="L40" i="73" s="1"/>
  <c r="AO40" i="73"/>
  <c r="AP1" i="73"/>
  <c r="AP40" i="73" s="1"/>
  <c r="D9" i="35"/>
  <c r="D8" i="35"/>
  <c r="D92" i="130" l="1"/>
  <c r="D101" i="130"/>
  <c r="F22" i="130"/>
  <c r="D93" i="130" s="1"/>
  <c r="A25" i="130"/>
  <c r="M1" i="73"/>
  <c r="N1" i="73" s="1"/>
  <c r="N40" i="73" s="1"/>
  <c r="AQ1" i="73"/>
  <c r="F25" i="130" l="1"/>
  <c r="A26" i="130"/>
  <c r="M40" i="73"/>
  <c r="O1" i="73"/>
  <c r="AR1" i="73"/>
  <c r="AQ40" i="73"/>
  <c r="P1" i="73"/>
  <c r="Q1" i="73" s="1"/>
  <c r="Q40" i="73" s="1"/>
  <c r="O40" i="73"/>
  <c r="D14" i="104"/>
  <c r="D13" i="104"/>
  <c r="D12" i="104"/>
  <c r="A19" i="1"/>
  <c r="A21" i="1" l="1"/>
  <c r="F26" i="130"/>
  <c r="AS1" i="73"/>
  <c r="AS40" i="73" s="1"/>
  <c r="AR40" i="73"/>
  <c r="P40" i="73"/>
  <c r="R1" i="73"/>
  <c r="H37" i="1"/>
  <c r="A22" i="1" l="1"/>
  <c r="A27" i="130"/>
  <c r="S1" i="73"/>
  <c r="R40" i="73"/>
  <c r="A23" i="1" l="1"/>
  <c r="F27" i="130"/>
  <c r="A28" i="130"/>
  <c r="S40" i="73"/>
  <c r="V1" i="73"/>
  <c r="A24" i="1" l="1"/>
  <c r="F28" i="130"/>
  <c r="A29" i="130"/>
  <c r="D106" i="130"/>
  <c r="D107" i="130"/>
  <c r="D108" i="130"/>
  <c r="D109" i="130"/>
  <c r="V40" i="73"/>
  <c r="W1" i="73"/>
  <c r="A9" i="32"/>
  <c r="AN44" i="73"/>
  <c r="N44" i="73"/>
  <c r="AA44" i="73"/>
  <c r="A25" i="1" l="1"/>
  <c r="A27" i="1" s="1"/>
  <c r="A28" i="1" s="1"/>
  <c r="A29" i="1" s="1"/>
  <c r="A30" i="1" s="1"/>
  <c r="F29" i="130"/>
  <c r="A30" i="130"/>
  <c r="X1" i="73"/>
  <c r="W40" i="73"/>
  <c r="F9" i="32"/>
  <c r="F30" i="130" l="1"/>
  <c r="A31" i="130"/>
  <c r="X40" i="73"/>
  <c r="Y1" i="73"/>
  <c r="F11" i="21"/>
  <c r="C17" i="44"/>
  <c r="I28" i="11"/>
  <c r="I27" i="11"/>
  <c r="I26" i="11"/>
  <c r="I25" i="11"/>
  <c r="I24" i="11"/>
  <c r="I23" i="11"/>
  <c r="I22" i="11"/>
  <c r="I21" i="11"/>
  <c r="I20" i="11"/>
  <c r="I19" i="11"/>
  <c r="I18" i="11"/>
  <c r="I17" i="11"/>
  <c r="I16" i="11"/>
  <c r="I15" i="11"/>
  <c r="I13" i="11"/>
  <c r="F31" i="130" l="1"/>
  <c r="A34" i="130"/>
  <c r="Y40" i="73"/>
  <c r="Z1" i="73"/>
  <c r="C14" i="44"/>
  <c r="C13" i="44"/>
  <c r="C15" i="44"/>
  <c r="C16" i="44"/>
  <c r="C12" i="44"/>
  <c r="C11" i="44"/>
  <c r="F34" i="130" l="1"/>
  <c r="D94" i="130" s="1"/>
  <c r="A35" i="130"/>
  <c r="Z40" i="73"/>
  <c r="AA1" i="73"/>
  <c r="F35" i="130" l="1"/>
  <c r="D95" i="130" s="1"/>
  <c r="A36" i="130"/>
  <c r="AA40" i="73"/>
  <c r="AB1" i="73"/>
  <c r="F36" i="130" l="1"/>
  <c r="D96" i="130" s="1"/>
  <c r="A40" i="130"/>
  <c r="AB40" i="73"/>
  <c r="AC1" i="73"/>
  <c r="E51" i="41"/>
  <c r="E50" i="41"/>
  <c r="E41" i="41"/>
  <c r="E42" i="41"/>
  <c r="E43" i="41"/>
  <c r="E44" i="41"/>
  <c r="E45" i="41"/>
  <c r="E46" i="41"/>
  <c r="E40" i="41"/>
  <c r="E57" i="67"/>
  <c r="E56" i="67"/>
  <c r="E55" i="67"/>
  <c r="E52" i="67"/>
  <c r="E51" i="67"/>
  <c r="E41" i="67"/>
  <c r="E42" i="67"/>
  <c r="E43" i="67"/>
  <c r="E44" i="67"/>
  <c r="E45" i="67"/>
  <c r="E46" i="67"/>
  <c r="E47" i="67"/>
  <c r="E48" i="67"/>
  <c r="E40" i="67"/>
  <c r="E56" i="40"/>
  <c r="E55" i="40"/>
  <c r="E51" i="40"/>
  <c r="E50" i="40"/>
  <c r="E41" i="40"/>
  <c r="E42" i="40"/>
  <c r="E43" i="40"/>
  <c r="E44" i="40"/>
  <c r="E45" i="40"/>
  <c r="E46" i="40"/>
  <c r="E47" i="40"/>
  <c r="E40" i="40"/>
  <c r="E37" i="41"/>
  <c r="E37" i="67"/>
  <c r="E37" i="40"/>
  <c r="T22" i="46"/>
  <c r="F40" i="130" l="1"/>
  <c r="A41" i="130"/>
  <c r="AD1" i="73"/>
  <c r="AC40" i="73"/>
  <c r="E49" i="79"/>
  <c r="G67" i="130" l="1"/>
  <c r="F41" i="130"/>
  <c r="G138" i="130" s="1"/>
  <c r="A42" i="130"/>
  <c r="AD40" i="73"/>
  <c r="AE1" i="73"/>
  <c r="F42" i="130" l="1"/>
  <c r="A43" i="130"/>
  <c r="AF1" i="73"/>
  <c r="AE40" i="73"/>
  <c r="F43" i="130" l="1"/>
  <c r="D97" i="130" s="1"/>
  <c r="A44" i="130"/>
  <c r="G72" i="130"/>
  <c r="D102" i="130"/>
  <c r="AF40" i="73"/>
  <c r="AI1" i="73"/>
  <c r="F44" i="130" l="1"/>
  <c r="A45" i="130"/>
  <c r="AI40" i="73"/>
  <c r="I28" i="130"/>
  <c r="AU44" i="130" l="1"/>
  <c r="D44" i="130"/>
  <c r="AT44" i="130"/>
  <c r="F45" i="130"/>
  <c r="A67" i="130"/>
  <c r="M27" i="43"/>
  <c r="L27" i="43"/>
  <c r="M27" i="65"/>
  <c r="K27" i="65"/>
  <c r="N27" i="43"/>
  <c r="K27" i="43"/>
  <c r="L27" i="65"/>
  <c r="O27" i="65"/>
  <c r="N27" i="65"/>
  <c r="O27" i="43"/>
  <c r="G7" i="49"/>
  <c r="F7" i="70"/>
  <c r="G7" i="45"/>
  <c r="K27" i="42"/>
  <c r="L27" i="42"/>
  <c r="F7" i="46"/>
  <c r="O27" i="42"/>
  <c r="M27" i="42"/>
  <c r="N27" i="42"/>
  <c r="G7" i="69"/>
  <c r="F7" i="50"/>
  <c r="G74" i="130" l="1"/>
  <c r="D104" i="130"/>
  <c r="F67" i="130"/>
  <c r="A69" i="130"/>
  <c r="D56" i="7"/>
  <c r="D58" i="7"/>
  <c r="D55" i="7"/>
  <c r="F69" i="130" l="1"/>
  <c r="A70" i="130"/>
  <c r="M26" i="72"/>
  <c r="M25" i="72"/>
  <c r="F70" i="130" l="1"/>
  <c r="A72" i="130"/>
  <c r="D15" i="32"/>
  <c r="F72" i="130" l="1"/>
  <c r="A74" i="130"/>
  <c r="D117" i="130"/>
  <c r="A12" i="104"/>
  <c r="F74" i="130" l="1"/>
  <c r="A75" i="130"/>
  <c r="F12" i="104"/>
  <c r="A13" i="104"/>
  <c r="F75" i="130" l="1"/>
  <c r="A77" i="130"/>
  <c r="A14" i="104"/>
  <c r="F13" i="104"/>
  <c r="F77" i="130" l="1"/>
  <c r="A78" i="130"/>
  <c r="G78" i="130"/>
  <c r="D118" i="130"/>
  <c r="A18" i="104"/>
  <c r="F14" i="104"/>
  <c r="A19" i="104"/>
  <c r="A20" i="104" s="1"/>
  <c r="F78" i="130" l="1"/>
  <c r="G80" i="130" s="1"/>
  <c r="A80" i="130"/>
  <c r="D119" i="130"/>
  <c r="D103" i="130"/>
  <c r="A24" i="104"/>
  <c r="A25" i="104" s="1"/>
  <c r="A26" i="104" s="1"/>
  <c r="F80" i="130" l="1"/>
  <c r="A84" i="130"/>
  <c r="A27" i="104"/>
  <c r="F84" i="130" l="1"/>
  <c r="D120" i="130" s="1"/>
  <c r="A85" i="130"/>
  <c r="F19" i="104"/>
  <c r="F20" i="104"/>
  <c r="F85" i="130" l="1"/>
  <c r="D121" i="130" s="1"/>
  <c r="A86" i="130"/>
  <c r="F18" i="104"/>
  <c r="F86" i="130" l="1"/>
  <c r="D122" i="130" s="1"/>
  <c r="A129" i="130"/>
  <c r="F24" i="104"/>
  <c r="A130" i="130" l="1"/>
  <c r="F129" i="130"/>
  <c r="F26" i="104"/>
  <c r="F25" i="104"/>
  <c r="F27" i="104"/>
  <c r="D33" i="104" l="1"/>
  <c r="D32" i="104"/>
  <c r="A131" i="130"/>
  <c r="F130" i="130"/>
  <c r="G18" i="104"/>
  <c r="G20" i="104"/>
  <c r="G19" i="104"/>
  <c r="G134" i="130" l="1"/>
  <c r="A134" i="130"/>
  <c r="F131" i="130"/>
  <c r="H53" i="43"/>
  <c r="H56" i="43"/>
  <c r="H46" i="43"/>
  <c r="L25" i="103"/>
  <c r="G25" i="103"/>
  <c r="G16" i="103"/>
  <c r="G15" i="103"/>
  <c r="H21" i="103"/>
  <c r="I21" i="103" s="1"/>
  <c r="G14" i="103"/>
  <c r="E8" i="103"/>
  <c r="F1" i="103"/>
  <c r="G1" i="103" s="1"/>
  <c r="H23" i="103" l="1"/>
  <c r="I23" i="103" s="1"/>
  <c r="H22" i="103"/>
  <c r="I22" i="103" s="1"/>
  <c r="K21" i="103"/>
  <c r="M21" i="103" s="1"/>
  <c r="H25" i="103"/>
  <c r="I25" i="103" s="1"/>
  <c r="I14" i="103"/>
  <c r="I16" i="103"/>
  <c r="I15" i="103"/>
  <c r="G24" i="103"/>
  <c r="I24" i="103" s="1"/>
  <c r="A138" i="130"/>
  <c r="F134" i="130"/>
  <c r="H19" i="103"/>
  <c r="F8" i="103"/>
  <c r="H1" i="103"/>
  <c r="G8" i="103"/>
  <c r="H20" i="103"/>
  <c r="O67" i="1"/>
  <c r="D67" i="1" s="1"/>
  <c r="O73" i="1"/>
  <c r="D73" i="1" s="1"/>
  <c r="O71" i="1"/>
  <c r="D71" i="1" s="1"/>
  <c r="H20" i="32"/>
  <c r="H19" i="32"/>
  <c r="D20" i="32"/>
  <c r="D19" i="32"/>
  <c r="I14" i="56"/>
  <c r="D14" i="56"/>
  <c r="I10" i="56"/>
  <c r="D10" i="56"/>
  <c r="J18" i="56"/>
  <c r="K18" i="56" s="1"/>
  <c r="L18" i="56" s="1"/>
  <c r="M18" i="56" s="1"/>
  <c r="N18" i="56" s="1"/>
  <c r="O18" i="56" s="1"/>
  <c r="P18" i="56" s="1"/>
  <c r="Q18" i="56" s="1"/>
  <c r="R18" i="56" s="1"/>
  <c r="S18" i="56" s="1"/>
  <c r="T18" i="56" s="1"/>
  <c r="U18" i="56" s="1"/>
  <c r="V18" i="56" s="1"/>
  <c r="W18" i="56" s="1"/>
  <c r="X18" i="56" s="1"/>
  <c r="Y18" i="56" s="1"/>
  <c r="Z18" i="56" s="1"/>
  <c r="AA18" i="56" s="1"/>
  <c r="AB18" i="56" s="1"/>
  <c r="AC18" i="56" s="1"/>
  <c r="AD18" i="56" s="1"/>
  <c r="AE18" i="56" s="1"/>
  <c r="AF18" i="56" s="1"/>
  <c r="AG18" i="56" s="1"/>
  <c r="AH18" i="56" s="1"/>
  <c r="F8" i="56"/>
  <c r="A9" i="56"/>
  <c r="I8" i="56"/>
  <c r="I13" i="56" s="1"/>
  <c r="D8" i="56"/>
  <c r="L43" i="102"/>
  <c r="L42" i="102"/>
  <c r="L41" i="102"/>
  <c r="L40" i="102"/>
  <c r="L39" i="102"/>
  <c r="K37" i="102"/>
  <c r="J37" i="102"/>
  <c r="I37" i="102"/>
  <c r="H37" i="102"/>
  <c r="G37" i="102"/>
  <c r="K24" i="103" l="1"/>
  <c r="M24" i="103" s="1"/>
  <c r="K22" i="103"/>
  <c r="M22" i="103" s="1"/>
  <c r="K23" i="103"/>
  <c r="M23" i="103" s="1"/>
  <c r="K25" i="103"/>
  <c r="M25" i="103" s="1"/>
  <c r="K16" i="103"/>
  <c r="M16" i="103" s="1"/>
  <c r="E19" i="131"/>
  <c r="T19" i="131" s="1"/>
  <c r="K14" i="103"/>
  <c r="E17" i="131"/>
  <c r="T17" i="131" s="1"/>
  <c r="F138" i="130"/>
  <c r="A139" i="130"/>
  <c r="D35" i="103"/>
  <c r="V20" i="56"/>
  <c r="W20" i="56"/>
  <c r="X20" i="56"/>
  <c r="Y20" i="56"/>
  <c r="AB20" i="56"/>
  <c r="J20" i="56"/>
  <c r="L20" i="56"/>
  <c r="Q20" i="56"/>
  <c r="R20" i="56"/>
  <c r="S20" i="56"/>
  <c r="U20" i="56"/>
  <c r="Z20" i="56"/>
  <c r="AA20" i="56"/>
  <c r="AC20" i="56"/>
  <c r="AD20" i="56"/>
  <c r="K20" i="56"/>
  <c r="AE20" i="56"/>
  <c r="AF20" i="56"/>
  <c r="D20" i="56"/>
  <c r="T20" i="56"/>
  <c r="M20" i="56"/>
  <c r="AG20" i="56"/>
  <c r="N20" i="56"/>
  <c r="AH20" i="56"/>
  <c r="O20" i="56"/>
  <c r="I20" i="56"/>
  <c r="P20" i="56"/>
  <c r="H8" i="103"/>
  <c r="D34" i="103" s="1"/>
  <c r="I1" i="103"/>
  <c r="A10" i="56"/>
  <c r="F9" i="56"/>
  <c r="M14" i="103" l="1"/>
  <c r="A140" i="130"/>
  <c r="F139" i="130"/>
  <c r="I10" i="103"/>
  <c r="I8" i="103"/>
  <c r="J1" i="103"/>
  <c r="F10" i="56"/>
  <c r="G11" i="56" s="1"/>
  <c r="A11" i="56"/>
  <c r="K22" i="77"/>
  <c r="K25" i="77" s="1"/>
  <c r="J22" i="77"/>
  <c r="J25" i="77" s="1"/>
  <c r="J28" i="77" s="1"/>
  <c r="J35" i="77" s="1"/>
  <c r="I22" i="77"/>
  <c r="I25" i="77" s="1"/>
  <c r="I28" i="77" s="1"/>
  <c r="H22" i="77"/>
  <c r="H25" i="77" s="1"/>
  <c r="H28" i="77" s="1"/>
  <c r="G22" i="77"/>
  <c r="G25" i="77" s="1"/>
  <c r="J36" i="77" l="1"/>
  <c r="H36" i="77"/>
  <c r="I36" i="77"/>
  <c r="K36" i="77"/>
  <c r="G36" i="77"/>
  <c r="G28" i="77"/>
  <c r="G34" i="77" s="1"/>
  <c r="K28" i="77"/>
  <c r="K35" i="77" s="1"/>
  <c r="A141" i="130"/>
  <c r="F140" i="130"/>
  <c r="D161" i="130" s="1"/>
  <c r="J34" i="77"/>
  <c r="H35" i="77"/>
  <c r="I35" i="77"/>
  <c r="A12" i="56"/>
  <c r="A13" i="56" s="1"/>
  <c r="K1" i="103"/>
  <c r="J8" i="103"/>
  <c r="F11" i="56"/>
  <c r="H34" i="77"/>
  <c r="I34" i="77"/>
  <c r="G35" i="77" l="1"/>
  <c r="A14" i="56"/>
  <c r="A18" i="56"/>
  <c r="F18" i="56" s="1"/>
  <c r="K34" i="77"/>
  <c r="K10" i="103"/>
  <c r="A142" i="130"/>
  <c r="F141" i="130"/>
  <c r="D162" i="130" s="1"/>
  <c r="F12" i="56"/>
  <c r="K8" i="103"/>
  <c r="L1" i="103"/>
  <c r="F13" i="56"/>
  <c r="D27" i="56" s="1"/>
  <c r="A143" i="130" l="1"/>
  <c r="F142" i="130"/>
  <c r="F14" i="56"/>
  <c r="L8" i="103"/>
  <c r="D36" i="103" s="1"/>
  <c r="M1" i="103"/>
  <c r="M8" i="103" s="1"/>
  <c r="F143" i="130" l="1"/>
  <c r="A145" i="130"/>
  <c r="M10" i="103"/>
  <c r="A146" i="130" l="1"/>
  <c r="F145" i="130"/>
  <c r="D163" i="130"/>
  <c r="G147" i="130"/>
  <c r="G154" i="130"/>
  <c r="E19" i="41"/>
  <c r="A147" i="130" l="1"/>
  <c r="F146" i="130"/>
  <c r="L27" i="50"/>
  <c r="M9" i="69"/>
  <c r="N28" i="70"/>
  <c r="G139" i="130" l="1"/>
  <c r="D165" i="130"/>
  <c r="A148" i="130"/>
  <c r="F147" i="130"/>
  <c r="D164" i="130" s="1"/>
  <c r="E19" i="67"/>
  <c r="M27" i="50"/>
  <c r="N27" i="50"/>
  <c r="O27" i="50"/>
  <c r="P27" i="50"/>
  <c r="H62" i="43"/>
  <c r="H61" i="43"/>
  <c r="H57" i="43"/>
  <c r="H47" i="43"/>
  <c r="H77" i="65"/>
  <c r="H76" i="65"/>
  <c r="H72" i="65"/>
  <c r="H71" i="65"/>
  <c r="H69" i="65"/>
  <c r="H64" i="65"/>
  <c r="H58" i="65"/>
  <c r="H56" i="65"/>
  <c r="H55" i="65"/>
  <c r="H54" i="65"/>
  <c r="H53" i="65"/>
  <c r="H45" i="65"/>
  <c r="H44" i="65"/>
  <c r="H76" i="42"/>
  <c r="H75" i="42"/>
  <c r="H71" i="42"/>
  <c r="H70" i="42"/>
  <c r="H69" i="42"/>
  <c r="H63" i="42"/>
  <c r="H55" i="42"/>
  <c r="H54" i="42"/>
  <c r="H53" i="42"/>
  <c r="H52" i="42"/>
  <c r="H45" i="42"/>
  <c r="H44" i="42"/>
  <c r="E21" i="65"/>
  <c r="E20" i="65"/>
  <c r="E19" i="65"/>
  <c r="F148" i="130" l="1"/>
  <c r="A149" i="130"/>
  <c r="G148" i="130"/>
  <c r="E19" i="40"/>
  <c r="E21" i="42"/>
  <c r="E19" i="42"/>
  <c r="A150" i="130" l="1"/>
  <c r="F149" i="130"/>
  <c r="D166" i="130" s="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A152" i="130" l="1"/>
  <c r="F150" i="130"/>
  <c r="D167" i="130" s="1"/>
  <c r="B8" i="44"/>
  <c r="J8" i="44" s="1"/>
  <c r="D4" i="103" l="1"/>
  <c r="D3" i="103" s="1"/>
  <c r="D3" i="132"/>
  <c r="A153" i="130"/>
  <c r="F152" i="130"/>
  <c r="H13" i="32"/>
  <c r="A154" i="130" l="1"/>
  <c r="F153" i="130"/>
  <c r="H21" i="32"/>
  <c r="E13" i="56"/>
  <c r="E22" i="56" s="1"/>
  <c r="E30" i="32" s="1"/>
  <c r="D169" i="130" l="1"/>
  <c r="G142" i="130"/>
  <c r="F154" i="130"/>
  <c r="D168" i="130" s="1"/>
  <c r="A155" i="130"/>
  <c r="J59" i="76"/>
  <c r="I59" i="76"/>
  <c r="H59" i="76"/>
  <c r="G59" i="76"/>
  <c r="F59" i="76"/>
  <c r="G51" i="81"/>
  <c r="H51" i="81"/>
  <c r="I51" i="81"/>
  <c r="J51" i="81"/>
  <c r="K51" i="81"/>
  <c r="L51" i="81"/>
  <c r="M51" i="81"/>
  <c r="N51" i="81"/>
  <c r="O51" i="81"/>
  <c r="F51" i="81"/>
  <c r="V36" i="43"/>
  <c r="U36" i="43"/>
  <c r="T36" i="43"/>
  <c r="S36" i="43"/>
  <c r="R36" i="43"/>
  <c r="L36" i="43"/>
  <c r="M36" i="43"/>
  <c r="N36" i="43"/>
  <c r="O36" i="43"/>
  <c r="K36" i="43"/>
  <c r="D36" i="43"/>
  <c r="V36" i="65"/>
  <c r="U36" i="65"/>
  <c r="T36" i="65"/>
  <c r="S36" i="65"/>
  <c r="R36" i="65"/>
  <c r="O36" i="65"/>
  <c r="N36" i="65"/>
  <c r="M36" i="65"/>
  <c r="L36" i="65"/>
  <c r="K36" i="65"/>
  <c r="D36" i="65"/>
  <c r="E36" i="65"/>
  <c r="V37" i="42"/>
  <c r="U37" i="42"/>
  <c r="T37" i="42"/>
  <c r="S37" i="42"/>
  <c r="R37" i="42"/>
  <c r="L37" i="42"/>
  <c r="M37" i="42"/>
  <c r="N37" i="42"/>
  <c r="O37" i="42"/>
  <c r="K37" i="42"/>
  <c r="D37" i="42"/>
  <c r="A156" i="130" l="1"/>
  <c r="F155" i="130"/>
  <c r="G155" i="130"/>
  <c r="I19" i="79"/>
  <c r="G19" i="79"/>
  <c r="P19" i="79"/>
  <c r="H19" i="79"/>
  <c r="O19" i="79"/>
  <c r="N19" i="79"/>
  <c r="M19" i="79"/>
  <c r="J19" i="79"/>
  <c r="L19" i="79"/>
  <c r="K19" i="79"/>
  <c r="D11" i="21"/>
  <c r="A157" i="130" l="1"/>
  <c r="F157" i="130" s="1"/>
  <c r="F156" i="130"/>
  <c r="D170" i="130" s="1"/>
  <c r="O29" i="46"/>
  <c r="O26" i="46" s="1"/>
  <c r="O32" i="46" s="1"/>
  <c r="K27" i="47"/>
  <c r="K26" i="47" s="1"/>
  <c r="L29" i="46"/>
  <c r="H27" i="47"/>
  <c r="H26" i="47" s="1"/>
  <c r="P29" i="46"/>
  <c r="P26" i="46" s="1"/>
  <c r="P32" i="46" s="1"/>
  <c r="L27" i="47"/>
  <c r="L26" i="47" s="1"/>
  <c r="N29" i="46"/>
  <c r="N26" i="46" s="1"/>
  <c r="N32" i="46" s="1"/>
  <c r="J27" i="47"/>
  <c r="J26" i="47" s="1"/>
  <c r="M29" i="46"/>
  <c r="M26" i="46" s="1"/>
  <c r="M32" i="46" s="1"/>
  <c r="I27" i="47"/>
  <c r="I26" i="47" s="1"/>
  <c r="D171" i="130" l="1"/>
  <c r="D16" i="41" l="1"/>
  <c r="H16" i="41" s="1"/>
  <c r="D16" i="67"/>
  <c r="H16" i="67" s="1"/>
  <c r="H15" i="67"/>
  <c r="D16" i="40"/>
  <c r="H16" i="40" s="1"/>
  <c r="H15" i="40"/>
  <c r="I15" i="72" l="1"/>
  <c r="I16" i="72"/>
  <c r="I20" i="72"/>
  <c r="I21" i="72"/>
  <c r="Z70" i="65" l="1"/>
  <c r="L70" i="65" s="1"/>
  <c r="Z46" i="40"/>
  <c r="Z46" i="67"/>
  <c r="N70" i="65" l="1"/>
  <c r="M70" i="65"/>
  <c r="O70" i="65"/>
  <c r="D70" i="65"/>
  <c r="S37" i="69" s="1"/>
  <c r="K70" i="65"/>
  <c r="D37" i="69" l="1"/>
  <c r="K37" i="69" a="1"/>
  <c r="K37" i="69" s="1"/>
  <c r="G37" i="69" a="1"/>
  <c r="G37" i="69" s="1"/>
  <c r="I37" i="69" a="1"/>
  <c r="I37" i="69" s="1"/>
  <c r="H37" i="69" a="1"/>
  <c r="H37" i="69" s="1"/>
  <c r="J37" i="69" a="1"/>
  <c r="J37" i="69" s="1"/>
  <c r="S28" i="45"/>
  <c r="D28" i="45" s="1"/>
  <c r="Z55" i="43" l="1"/>
  <c r="Q57" i="43"/>
  <c r="Z45" i="41"/>
  <c r="D45" i="41" s="1"/>
  <c r="D12" i="46"/>
  <c r="D12" i="45"/>
  <c r="D12" i="70"/>
  <c r="D12" i="69"/>
  <c r="D12" i="50"/>
  <c r="D12" i="49"/>
  <c r="D35" i="43"/>
  <c r="D35" i="65"/>
  <c r="D36" i="42"/>
  <c r="D34" i="41"/>
  <c r="D34" i="67"/>
  <c r="D34" i="40"/>
  <c r="D13" i="7"/>
  <c r="D11" i="47"/>
  <c r="D11" i="68"/>
  <c r="P28" i="70" l="1"/>
  <c r="O28" i="70"/>
  <c r="M28" i="70"/>
  <c r="L28" i="70"/>
  <c r="L16" i="47"/>
  <c r="K16" i="47"/>
  <c r="J16" i="47"/>
  <c r="I16" i="47"/>
  <c r="H16" i="47"/>
  <c r="I26" i="48" l="1"/>
  <c r="J26" i="48"/>
  <c r="K26" i="48"/>
  <c r="L26" i="48"/>
  <c r="H26" i="48"/>
  <c r="I13" i="48" l="1"/>
  <c r="J13" i="48"/>
  <c r="K13" i="48"/>
  <c r="L13" i="48"/>
  <c r="H13" i="48"/>
  <c r="A11" i="47" l="1" a="1"/>
  <c r="A11" i="47" s="1"/>
  <c r="A12" i="47" s="1" a="1"/>
  <c r="A12" i="47" s="1"/>
  <c r="F11" i="68"/>
  <c r="F11" i="47" l="1"/>
  <c r="L31" i="49" l="1"/>
  <c r="T41" i="49"/>
  <c r="D41" i="49" s="1"/>
  <c r="Z16" i="42"/>
  <c r="H16" i="42" s="1"/>
  <c r="Z16" i="65"/>
  <c r="H16" i="65" s="1"/>
  <c r="H53" i="76" l="1"/>
  <c r="I38" i="77" s="1"/>
  <c r="G53" i="76"/>
  <c r="H38" i="77" s="1"/>
  <c r="I53" i="76"/>
  <c r="J38" i="77" s="1"/>
  <c r="J53" i="76"/>
  <c r="K38" i="77" s="1"/>
  <c r="F53" i="76"/>
  <c r="G38" i="77" s="1"/>
  <c r="N55" i="43" l="1"/>
  <c r="M55" i="43"/>
  <c r="O55" i="43"/>
  <c r="K55" i="43"/>
  <c r="G28" i="45" s="1" a="1"/>
  <c r="G28" i="45" s="1"/>
  <c r="L55" i="43"/>
  <c r="S31" i="50" l="1"/>
  <c r="S22" i="50"/>
  <c r="D22" i="50" s="1"/>
  <c r="S17" i="50"/>
  <c r="D17" i="50" s="1"/>
  <c r="S18" i="50"/>
  <c r="D18" i="50" s="1"/>
  <c r="S19" i="50"/>
  <c r="D19" i="50" s="1"/>
  <c r="S20" i="50"/>
  <c r="D20" i="50" s="1"/>
  <c r="S16" i="50"/>
  <c r="H49" i="79" l="1"/>
  <c r="I49" i="79"/>
  <c r="J49" i="79"/>
  <c r="K49" i="79"/>
  <c r="G49" i="79"/>
  <c r="S30" i="50" l="1"/>
  <c r="I14" i="130" l="1"/>
  <c r="H15" i="32"/>
  <c r="I8" i="130"/>
  <c r="I40" i="130" s="1"/>
  <c r="E80" i="1"/>
  <c r="E81" i="1"/>
  <c r="E76" i="1"/>
  <c r="E24" i="73"/>
  <c r="E18" i="73"/>
  <c r="E22" i="73"/>
  <c r="E23" i="73"/>
  <c r="E19" i="73"/>
  <c r="E20" i="73"/>
  <c r="K36" i="1"/>
  <c r="K38" i="1" s="1"/>
  <c r="I36" i="1"/>
  <c r="J36" i="1"/>
  <c r="K39" i="1"/>
  <c r="J13" i="104" s="1"/>
  <c r="I39" i="1"/>
  <c r="H13" i="104" s="1"/>
  <c r="J39" i="1"/>
  <c r="I13" i="104" s="1"/>
  <c r="M7" i="45"/>
  <c r="M7" i="49"/>
  <c r="L7" i="70"/>
  <c r="M7" i="69"/>
  <c r="L7" i="50"/>
  <c r="L7" i="46"/>
  <c r="J14" i="104"/>
  <c r="H14" i="104"/>
  <c r="I14" i="104"/>
  <c r="I9" i="56"/>
  <c r="I11" i="56" s="1"/>
  <c r="H11" i="41"/>
  <c r="H11" i="67"/>
  <c r="H11" i="40"/>
  <c r="R24" i="40" s="1"/>
  <c r="H39" i="1"/>
  <c r="I9" i="35" s="1"/>
  <c r="E73" i="1"/>
  <c r="G10" i="79"/>
  <c r="L12" i="48"/>
  <c r="K12" i="48"/>
  <c r="J12" i="48"/>
  <c r="I12" i="48"/>
  <c r="L25" i="48"/>
  <c r="K25" i="48"/>
  <c r="J25" i="48"/>
  <c r="I25" i="48"/>
  <c r="L19" i="48"/>
  <c r="K19" i="48"/>
  <c r="J19" i="48"/>
  <c r="I19" i="48"/>
  <c r="L16" i="48"/>
  <c r="K16" i="48"/>
  <c r="J16" i="48"/>
  <c r="I16" i="48"/>
  <c r="H12" i="48"/>
  <c r="H25" i="48"/>
  <c r="H19" i="48"/>
  <c r="H16" i="48"/>
  <c r="E54" i="130" l="1"/>
  <c r="D98" i="130"/>
  <c r="G41" i="130"/>
  <c r="F54" i="130"/>
  <c r="G54" i="130"/>
  <c r="D110" i="130" s="1"/>
  <c r="H54" i="130"/>
  <c r="J40" i="130"/>
  <c r="I67" i="130"/>
  <c r="I41" i="130"/>
  <c r="J38" i="1"/>
  <c r="I12" i="104" s="1"/>
  <c r="U24" i="40"/>
  <c r="V24" i="40"/>
  <c r="S24" i="40"/>
  <c r="T24" i="40"/>
  <c r="R24" i="67"/>
  <c r="S24" i="67"/>
  <c r="U24" i="67"/>
  <c r="V24" i="67"/>
  <c r="T24" i="67"/>
  <c r="R25" i="41"/>
  <c r="S25" i="41"/>
  <c r="T25" i="41"/>
  <c r="U25" i="41"/>
  <c r="V25" i="41"/>
  <c r="I38" i="1"/>
  <c r="H12" i="104" s="1"/>
  <c r="H36" i="1"/>
  <c r="J12" i="104"/>
  <c r="J21" i="56"/>
  <c r="J22" i="56" s="1"/>
  <c r="K21" i="56"/>
  <c r="K22" i="56" s="1"/>
  <c r="O21" i="56"/>
  <c r="O22" i="56" s="1"/>
  <c r="L21" i="56"/>
  <c r="L22" i="56" s="1"/>
  <c r="N21" i="56"/>
  <c r="N22" i="56" s="1"/>
  <c r="I21" i="56"/>
  <c r="I22" i="56" s="1"/>
  <c r="M21" i="56"/>
  <c r="M22" i="56" s="1"/>
  <c r="P21" i="56"/>
  <c r="P22" i="56" s="1"/>
  <c r="T21" i="56"/>
  <c r="T22" i="56" s="1"/>
  <c r="AE21" i="56"/>
  <c r="AE22" i="56" s="1"/>
  <c r="W21" i="56"/>
  <c r="W22" i="56" s="1"/>
  <c r="AD21" i="56"/>
  <c r="AD22" i="56" s="1"/>
  <c r="AC21" i="56"/>
  <c r="AC22" i="56" s="1"/>
  <c r="AH21" i="56"/>
  <c r="AH22" i="56" s="1"/>
  <c r="Z21" i="56"/>
  <c r="Z22" i="56" s="1"/>
  <c r="U21" i="56"/>
  <c r="U22" i="56" s="1"/>
  <c r="X21" i="56"/>
  <c r="X22" i="56" s="1"/>
  <c r="AF21" i="56"/>
  <c r="AF22" i="56" s="1"/>
  <c r="Q21" i="56"/>
  <c r="Q22" i="56" s="1"/>
  <c r="S21" i="56"/>
  <c r="S22" i="56" s="1"/>
  <c r="V21" i="56"/>
  <c r="V22" i="56" s="1"/>
  <c r="R21" i="56"/>
  <c r="R22" i="56" s="1"/>
  <c r="AB21" i="56"/>
  <c r="AB22" i="56" s="1"/>
  <c r="AA21" i="56"/>
  <c r="AA22" i="56" s="1"/>
  <c r="Y21" i="56"/>
  <c r="Y22" i="56" s="1"/>
  <c r="AG21" i="56"/>
  <c r="AG22" i="56" s="1"/>
  <c r="D21" i="56"/>
  <c r="I13" i="68"/>
  <c r="J13" i="68"/>
  <c r="K13" i="68"/>
  <c r="L13" i="68"/>
  <c r="H13" i="68"/>
  <c r="I12" i="68"/>
  <c r="J12" i="68"/>
  <c r="K12" i="68"/>
  <c r="L12" i="68"/>
  <c r="H12" i="68"/>
  <c r="I26" i="68"/>
  <c r="J26" i="68"/>
  <c r="K26" i="68"/>
  <c r="L26" i="68"/>
  <c r="H26" i="68"/>
  <c r="I25" i="68"/>
  <c r="J25" i="68"/>
  <c r="K25" i="68"/>
  <c r="H25" i="68"/>
  <c r="I19" i="68"/>
  <c r="J19" i="68"/>
  <c r="K19" i="68"/>
  <c r="L19" i="68"/>
  <c r="H19" i="68"/>
  <c r="I16" i="68"/>
  <c r="J16" i="68"/>
  <c r="K16" i="68"/>
  <c r="L16" i="68"/>
  <c r="H16" i="68"/>
  <c r="H24" i="104" l="1"/>
  <c r="D111" i="130"/>
  <c r="D113" i="130"/>
  <c r="D116" i="130"/>
  <c r="D112" i="130"/>
  <c r="I69" i="130"/>
  <c r="I138" i="130"/>
  <c r="J41" i="130"/>
  <c r="K40" i="130"/>
  <c r="J67" i="130"/>
  <c r="H38" i="1"/>
  <c r="I8" i="35"/>
  <c r="I24" i="104" l="1"/>
  <c r="H25" i="104"/>
  <c r="H26" i="104" s="1"/>
  <c r="K41" i="130"/>
  <c r="L40" i="130"/>
  <c r="K67" i="130"/>
  <c r="J77" i="130"/>
  <c r="J138" i="130"/>
  <c r="Z56" i="40"/>
  <c r="N56" i="40" s="1"/>
  <c r="Z55" i="40"/>
  <c r="L55" i="40" s="1"/>
  <c r="Z45" i="40"/>
  <c r="Z44" i="40"/>
  <c r="Z43" i="40"/>
  <c r="Z42" i="40"/>
  <c r="Z41" i="40"/>
  <c r="Z40" i="40"/>
  <c r="Z14" i="40"/>
  <c r="H14" i="40" s="1"/>
  <c r="Z57" i="67"/>
  <c r="O57" i="67" s="1"/>
  <c r="Z56" i="67"/>
  <c r="L56" i="67" s="1"/>
  <c r="Z47" i="67"/>
  <c r="Z41" i="67"/>
  <c r="Z42" i="67"/>
  <c r="Z43" i="67"/>
  <c r="Z44" i="67"/>
  <c r="Z45" i="67"/>
  <c r="Z40" i="67"/>
  <c r="Z14" i="67"/>
  <c r="H14" i="67" s="1"/>
  <c r="J24" i="104" l="1"/>
  <c r="L41" i="130"/>
  <c r="L67" i="130"/>
  <c r="M40" i="130"/>
  <c r="K138" i="130"/>
  <c r="K77" i="130"/>
  <c r="L42" i="67"/>
  <c r="O42" i="67"/>
  <c r="M42" i="67"/>
  <c r="N42" i="67"/>
  <c r="K44" i="67"/>
  <c r="N44" i="67"/>
  <c r="M44" i="67"/>
  <c r="L44" i="67"/>
  <c r="O44" i="67"/>
  <c r="K41" i="67"/>
  <c r="L41" i="67"/>
  <c r="M41" i="67"/>
  <c r="N41" i="67"/>
  <c r="O41" i="67"/>
  <c r="L43" i="67"/>
  <c r="O43" i="67"/>
  <c r="N43" i="67"/>
  <c r="M43" i="67"/>
  <c r="L47" i="67"/>
  <c r="M47" i="67"/>
  <c r="N47" i="67"/>
  <c r="O47" i="67"/>
  <c r="L40" i="67"/>
  <c r="M40" i="67"/>
  <c r="N40" i="67"/>
  <c r="O40" i="67"/>
  <c r="L41" i="40"/>
  <c r="G17" i="50" s="1" a="1"/>
  <c r="G17" i="50" s="1"/>
  <c r="O41" i="40"/>
  <c r="M41" i="40"/>
  <c r="N41" i="40"/>
  <c r="N43" i="40"/>
  <c r="M43" i="40"/>
  <c r="L43" i="40"/>
  <c r="G19" i="50" s="1" a="1"/>
  <c r="G19" i="50" s="1"/>
  <c r="O43" i="40"/>
  <c r="O40" i="40"/>
  <c r="L40" i="40"/>
  <c r="N40" i="40"/>
  <c r="I16" i="50" s="1" a="1"/>
  <c r="I16" i="50" s="1"/>
  <c r="M40" i="40"/>
  <c r="M42" i="40"/>
  <c r="L42" i="40"/>
  <c r="N42" i="40"/>
  <c r="O42" i="40"/>
  <c r="J18" i="50" s="1" a="1"/>
  <c r="J18" i="50" s="1"/>
  <c r="M44" i="40"/>
  <c r="H20" i="50" s="1" a="1"/>
  <c r="H20" i="50" s="1"/>
  <c r="N44" i="40"/>
  <c r="I20" i="50" s="1" a="1"/>
  <c r="I20" i="50" s="1"/>
  <c r="O44" i="40"/>
  <c r="J20" i="50" s="1" a="1"/>
  <c r="J20" i="50" s="1"/>
  <c r="L44" i="40"/>
  <c r="G20" i="50" s="1" a="1"/>
  <c r="G20" i="50" s="1"/>
  <c r="I25" i="104"/>
  <c r="I26" i="104" s="1"/>
  <c r="I31" i="50" a="1"/>
  <c r="I31" i="50" s="1"/>
  <c r="G30" i="50" a="1"/>
  <c r="G30" i="50" s="1"/>
  <c r="K44" i="40"/>
  <c r="K42" i="67"/>
  <c r="N57" i="67"/>
  <c r="M57" i="67"/>
  <c r="L57" i="67"/>
  <c r="K43" i="67"/>
  <c r="O56" i="67"/>
  <c r="N56" i="67"/>
  <c r="K40" i="67"/>
  <c r="K56" i="67"/>
  <c r="M56" i="67"/>
  <c r="K47" i="67"/>
  <c r="K57" i="67"/>
  <c r="K41" i="40"/>
  <c r="K42" i="40"/>
  <c r="K40" i="40"/>
  <c r="K55" i="40"/>
  <c r="O55" i="40"/>
  <c r="N55" i="40"/>
  <c r="K43" i="40"/>
  <c r="M55" i="40"/>
  <c r="K56" i="40"/>
  <c r="M56" i="40"/>
  <c r="L56" i="40"/>
  <c r="O56" i="40"/>
  <c r="K24" i="104" l="1"/>
  <c r="J25" i="104"/>
  <c r="J26" i="104" s="1"/>
  <c r="M67" i="130"/>
  <c r="N40" i="130"/>
  <c r="M41" i="130"/>
  <c r="L77" i="130"/>
  <c r="L138" i="130"/>
  <c r="G31" i="50" a="1"/>
  <c r="G31" i="50" s="1"/>
  <c r="J31" i="50" a="1"/>
  <c r="J31" i="50" s="1"/>
  <c r="F31" i="50" a="1"/>
  <c r="F31" i="50" s="1"/>
  <c r="F30" i="50" a="1"/>
  <c r="F30" i="50" s="1"/>
  <c r="I30" i="50" a="1"/>
  <c r="I30" i="50" s="1"/>
  <c r="J30" i="50" a="1"/>
  <c r="J30" i="50" s="1"/>
  <c r="J17" i="50" a="1"/>
  <c r="J17" i="50" s="1"/>
  <c r="J19" i="50" a="1"/>
  <c r="J19" i="50" s="1"/>
  <c r="J16" i="50" a="1"/>
  <c r="J16" i="50" s="1"/>
  <c r="H30" i="50" a="1"/>
  <c r="H30" i="50" s="1"/>
  <c r="H31" i="50" a="1"/>
  <c r="H31" i="50" s="1"/>
  <c r="I19" i="50" a="1"/>
  <c r="I19" i="50" s="1"/>
  <c r="F20" i="50" a="1"/>
  <c r="F20" i="50" s="1"/>
  <c r="F18" i="50" a="1"/>
  <c r="F18" i="50" s="1"/>
  <c r="H19" i="50" a="1"/>
  <c r="H19" i="50" s="1"/>
  <c r="H17" i="50" a="1"/>
  <c r="H17" i="50" s="1"/>
  <c r="F17" i="50" a="1"/>
  <c r="F17" i="50" s="1"/>
  <c r="I17" i="50" a="1"/>
  <c r="I17" i="50" s="1"/>
  <c r="F19" i="50" a="1"/>
  <c r="F19" i="50" s="1"/>
  <c r="I18" i="50" a="1"/>
  <c r="I18" i="50" s="1"/>
  <c r="H18" i="50" a="1"/>
  <c r="H18" i="50" s="1"/>
  <c r="G18" i="50" a="1"/>
  <c r="G18" i="50" s="1"/>
  <c r="H16" i="50" a="1"/>
  <c r="H16" i="50" s="1"/>
  <c r="G16" i="50" a="1"/>
  <c r="G16" i="50" s="1"/>
  <c r="F16" i="50" a="1"/>
  <c r="F16" i="50" s="1"/>
  <c r="Z69" i="42"/>
  <c r="D69" i="42" s="1"/>
  <c r="Z68" i="42"/>
  <c r="D68" i="42" s="1"/>
  <c r="Z67" i="42"/>
  <c r="D67" i="42" s="1"/>
  <c r="Z66" i="42"/>
  <c r="D66" i="42" s="1"/>
  <c r="Z65" i="42"/>
  <c r="D65" i="42" s="1"/>
  <c r="Z64" i="42"/>
  <c r="D64" i="42" s="1"/>
  <c r="Z63" i="42"/>
  <c r="D63" i="42" s="1"/>
  <c r="Z62" i="42"/>
  <c r="D62" i="42" s="1"/>
  <c r="Z61" i="42"/>
  <c r="D61" i="42" s="1"/>
  <c r="Z15" i="42"/>
  <c r="H15" i="42" s="1"/>
  <c r="Z57" i="42"/>
  <c r="D57" i="42" s="1"/>
  <c r="Z55" i="42"/>
  <c r="D55" i="42" s="1"/>
  <c r="Z54" i="42"/>
  <c r="D54" i="42" s="1"/>
  <c r="T29" i="49" s="1"/>
  <c r="D29" i="49" s="1"/>
  <c r="Z53" i="42"/>
  <c r="D53" i="42" s="1"/>
  <c r="T28" i="49" s="1"/>
  <c r="D28" i="49" s="1"/>
  <c r="Z52" i="42"/>
  <c r="Z51" i="42"/>
  <c r="Z50" i="42"/>
  <c r="L50" i="42" s="1"/>
  <c r="Z49" i="42"/>
  <c r="M49" i="42" s="1"/>
  <c r="Z48" i="42"/>
  <c r="L48" i="42" s="1"/>
  <c r="L52" i="42" s="1"/>
  <c r="Z47" i="42"/>
  <c r="D47" i="42" s="1"/>
  <c r="Z45" i="42"/>
  <c r="D45" i="42" s="1"/>
  <c r="Z44" i="42"/>
  <c r="Z43" i="42"/>
  <c r="D43" i="42" s="1"/>
  <c r="T18" i="49" s="1"/>
  <c r="Z42" i="42"/>
  <c r="K42" i="42" s="1"/>
  <c r="Z41" i="42"/>
  <c r="D41" i="42" s="1"/>
  <c r="Z14" i="42"/>
  <c r="H14" i="42" s="1"/>
  <c r="Z13" i="42"/>
  <c r="H13" i="42" s="1"/>
  <c r="Z12" i="42"/>
  <c r="H12" i="42" s="1"/>
  <c r="Z11" i="42"/>
  <c r="H11" i="42" s="1"/>
  <c r="Z10" i="42"/>
  <c r="H10" i="42" s="1"/>
  <c r="Z63" i="65"/>
  <c r="Z64" i="65"/>
  <c r="Z69" i="65"/>
  <c r="Z65" i="65"/>
  <c r="Z66" i="65"/>
  <c r="Z67" i="65"/>
  <c r="Z68" i="65"/>
  <c r="Z62" i="65"/>
  <c r="Z48" i="65"/>
  <c r="D48" i="65" s="1"/>
  <c r="S24" i="69" s="1"/>
  <c r="D24" i="69" s="1"/>
  <c r="Z49" i="65"/>
  <c r="D49" i="65" s="1"/>
  <c r="S25" i="69" s="1"/>
  <c r="D25" i="69" s="1"/>
  <c r="Z50" i="65"/>
  <c r="D50" i="65" s="1"/>
  <c r="S26" i="69" s="1"/>
  <c r="D26" i="69" s="1"/>
  <c r="Z51" i="65"/>
  <c r="D51" i="65" s="1"/>
  <c r="S27" i="69" s="1"/>
  <c r="D27" i="69" s="1"/>
  <c r="Z52" i="65"/>
  <c r="D52" i="65" s="1"/>
  <c r="S28" i="69" s="1"/>
  <c r="D28" i="69" s="1"/>
  <c r="Z53" i="65"/>
  <c r="D53" i="65" s="1"/>
  <c r="S29" i="69" s="1"/>
  <c r="D29" i="69" s="1"/>
  <c r="Z54" i="65"/>
  <c r="D54" i="65" s="1"/>
  <c r="S30" i="69" s="1"/>
  <c r="D30" i="69" s="1"/>
  <c r="Z55" i="65"/>
  <c r="D55" i="65" s="1"/>
  <c r="S31" i="69" s="1"/>
  <c r="D31" i="69" s="1"/>
  <c r="Z56" i="65"/>
  <c r="D56" i="65" s="1"/>
  <c r="Z58" i="65"/>
  <c r="D58" i="65" s="1"/>
  <c r="Z47" i="65"/>
  <c r="D47" i="65" s="1"/>
  <c r="Z41" i="65"/>
  <c r="D41" i="65" s="1"/>
  <c r="S17" i="69" s="1"/>
  <c r="D17" i="69" s="1"/>
  <c r="Z42" i="65"/>
  <c r="D42" i="65" s="1"/>
  <c r="S18" i="69" s="1"/>
  <c r="D18" i="69" s="1"/>
  <c r="Z43" i="65"/>
  <c r="D43" i="65" s="1"/>
  <c r="S19" i="69" s="1"/>
  <c r="D19" i="69" s="1"/>
  <c r="Z44" i="65"/>
  <c r="D44" i="65" s="1"/>
  <c r="S20" i="69" s="1"/>
  <c r="D20" i="69" s="1"/>
  <c r="Z45" i="65"/>
  <c r="D45" i="65" s="1"/>
  <c r="Z40" i="65"/>
  <c r="D40" i="65" s="1"/>
  <c r="O42" i="1"/>
  <c r="Z36" i="42"/>
  <c r="K36" i="42" s="1"/>
  <c r="G12" i="49" s="1"/>
  <c r="Z35" i="65"/>
  <c r="V35" i="65" s="1"/>
  <c r="Q12" i="69" s="1"/>
  <c r="Z11" i="65"/>
  <c r="H11" i="65" s="1"/>
  <c r="Z12" i="65"/>
  <c r="H12" i="65" s="1"/>
  <c r="Z13" i="65"/>
  <c r="H13" i="65" s="1"/>
  <c r="Z14" i="65"/>
  <c r="H14" i="65" s="1"/>
  <c r="Z15" i="65"/>
  <c r="H15" i="65" s="1"/>
  <c r="Z10" i="65"/>
  <c r="H10" i="65" s="1"/>
  <c r="P10" i="79"/>
  <c r="O10" i="79"/>
  <c r="N10" i="79"/>
  <c r="M10" i="79"/>
  <c r="L10" i="79"/>
  <c r="L24" i="104" l="1"/>
  <c r="M138" i="130"/>
  <c r="M77" i="130"/>
  <c r="O40" i="130"/>
  <c r="N41" i="130"/>
  <c r="N67" i="130"/>
  <c r="K25" i="104"/>
  <c r="K26" i="104" s="1"/>
  <c r="O51" i="42"/>
  <c r="S64" i="42"/>
  <c r="U64" i="42"/>
  <c r="R64" i="42"/>
  <c r="T64" i="42"/>
  <c r="V64" i="42"/>
  <c r="T68" i="42"/>
  <c r="S68" i="42"/>
  <c r="U68" i="42"/>
  <c r="V68" i="42"/>
  <c r="R68" i="42"/>
  <c r="S65" i="65"/>
  <c r="T65" i="65"/>
  <c r="U65" i="65"/>
  <c r="R65" i="65"/>
  <c r="V65" i="65"/>
  <c r="O50" i="42"/>
  <c r="D65" i="65"/>
  <c r="S38" i="69" s="1"/>
  <c r="D69" i="65"/>
  <c r="S42" i="69" s="1"/>
  <c r="D42" i="69" s="1"/>
  <c r="D62" i="65"/>
  <c r="S34" i="69" s="1"/>
  <c r="D34" i="69" s="1"/>
  <c r="T34" i="49"/>
  <c r="D34" i="49" s="1"/>
  <c r="D66" i="65"/>
  <c r="S39" i="69" s="1"/>
  <c r="D39" i="69" s="1"/>
  <c r="D63" i="65"/>
  <c r="S35" i="69" s="1"/>
  <c r="D35" i="69" s="1"/>
  <c r="D68" i="65"/>
  <c r="D67" i="65"/>
  <c r="S40" i="69" s="1"/>
  <c r="D40" i="69" s="1"/>
  <c r="F12" i="50"/>
  <c r="N36" i="42"/>
  <c r="J12" i="49" s="1"/>
  <c r="M36" i="42"/>
  <c r="L36" i="42"/>
  <c r="H12" i="49" s="1"/>
  <c r="N50" i="42"/>
  <c r="R36" i="42"/>
  <c r="M12" i="49" s="1"/>
  <c r="S36" i="42"/>
  <c r="N12" i="49" s="1"/>
  <c r="T36" i="42"/>
  <c r="O12" i="49" s="1"/>
  <c r="O36" i="42"/>
  <c r="K12" i="49" s="1"/>
  <c r="U36" i="42"/>
  <c r="V36" i="42"/>
  <c r="T35" i="49"/>
  <c r="D35" i="49" s="1"/>
  <c r="T33" i="49"/>
  <c r="D33" i="49" s="1"/>
  <c r="T36" i="49"/>
  <c r="D36" i="49" s="1"/>
  <c r="T38" i="49"/>
  <c r="D38" i="49" s="1"/>
  <c r="T32" i="49"/>
  <c r="D32" i="49" s="1"/>
  <c r="T37" i="49"/>
  <c r="D37" i="49" s="1"/>
  <c r="Q49" i="69"/>
  <c r="P12" i="70"/>
  <c r="M51" i="42"/>
  <c r="M50" i="42"/>
  <c r="L51" i="42"/>
  <c r="N51" i="42"/>
  <c r="K51" i="42"/>
  <c r="K49" i="42"/>
  <c r="L49" i="42"/>
  <c r="N49" i="42"/>
  <c r="O49" i="42"/>
  <c r="K48" i="42"/>
  <c r="K52" i="42" s="1"/>
  <c r="K50" i="42"/>
  <c r="N43" i="42"/>
  <c r="M43" i="42"/>
  <c r="O42" i="42"/>
  <c r="N42" i="42"/>
  <c r="M42" i="42"/>
  <c r="O48" i="42"/>
  <c r="O52" i="42" s="1"/>
  <c r="N48" i="42"/>
  <c r="N52" i="42" s="1"/>
  <c r="M48" i="42"/>
  <c r="M52" i="42" s="1"/>
  <c r="O43" i="42"/>
  <c r="L43" i="42"/>
  <c r="L42" i="42"/>
  <c r="K43" i="42"/>
  <c r="D48" i="42"/>
  <c r="T23" i="49" s="1"/>
  <c r="D23" i="49" s="1"/>
  <c r="D52" i="42"/>
  <c r="T27" i="49" s="1"/>
  <c r="D27" i="49" s="1"/>
  <c r="D42" i="42"/>
  <c r="T17" i="49" s="1"/>
  <c r="D17" i="49" s="1"/>
  <c r="D51" i="42"/>
  <c r="T26" i="49" s="1"/>
  <c r="D26" i="49" s="1"/>
  <c r="D44" i="42"/>
  <c r="T19" i="49" s="1"/>
  <c r="D19" i="49" s="1"/>
  <c r="D50" i="42"/>
  <c r="T25" i="49" s="1"/>
  <c r="D25" i="49" s="1"/>
  <c r="D49" i="42"/>
  <c r="T24" i="49" s="1"/>
  <c r="D24" i="49" s="1"/>
  <c r="D64" i="65"/>
  <c r="S36" i="69" s="1"/>
  <c r="D36" i="69" s="1"/>
  <c r="O49" i="65"/>
  <c r="O48" i="65"/>
  <c r="K43" i="65"/>
  <c r="O43" i="65"/>
  <c r="N49" i="65"/>
  <c r="M49" i="65"/>
  <c r="L49" i="65"/>
  <c r="K41" i="65"/>
  <c r="K42" i="65"/>
  <c r="M41" i="65"/>
  <c r="L41" i="65"/>
  <c r="L48" i="65"/>
  <c r="M43" i="65"/>
  <c r="M51" i="65"/>
  <c r="L43" i="65"/>
  <c r="K50" i="65"/>
  <c r="L51" i="65"/>
  <c r="N52" i="65"/>
  <c r="N48" i="65"/>
  <c r="N43" i="65"/>
  <c r="N42" i="65"/>
  <c r="L42" i="65"/>
  <c r="K51" i="65"/>
  <c r="L50" i="65"/>
  <c r="M48" i="65"/>
  <c r="O52" i="65"/>
  <c r="M52" i="65"/>
  <c r="L52" i="65"/>
  <c r="N51" i="65"/>
  <c r="O42" i="65"/>
  <c r="O50" i="65"/>
  <c r="N50" i="65"/>
  <c r="M42" i="65"/>
  <c r="K52" i="65"/>
  <c r="M50" i="65"/>
  <c r="O41" i="65"/>
  <c r="K48" i="65"/>
  <c r="O51" i="65"/>
  <c r="N41" i="65"/>
  <c r="K49" i="65"/>
  <c r="L35" i="65"/>
  <c r="H12" i="69" s="1"/>
  <c r="O35" i="65"/>
  <c r="K12" i="69" s="1"/>
  <c r="M35" i="65"/>
  <c r="I12" i="69" s="1"/>
  <c r="N35" i="65"/>
  <c r="J12" i="69" s="1"/>
  <c r="R35" i="65"/>
  <c r="M12" i="69" s="1"/>
  <c r="K35" i="65"/>
  <c r="G12" i="69" s="1"/>
  <c r="S35" i="65"/>
  <c r="N12" i="69" s="1"/>
  <c r="T35" i="65"/>
  <c r="O12" i="69" s="1"/>
  <c r="U35" i="65"/>
  <c r="P12" i="69" s="1"/>
  <c r="D38" i="69" l="1"/>
  <c r="N38" i="69" a="1"/>
  <c r="N38" i="69" s="1"/>
  <c r="O38" i="69" a="1"/>
  <c r="O38" i="69" s="1"/>
  <c r="P38" i="69" a="1"/>
  <c r="P38" i="69" s="1"/>
  <c r="Q38" i="69" a="1"/>
  <c r="Q38" i="69" s="1"/>
  <c r="M38" i="69" a="1"/>
  <c r="M38" i="69" s="1"/>
  <c r="M24" i="104"/>
  <c r="BH17" i="35"/>
  <c r="S41" i="69"/>
  <c r="D41" i="69" s="1"/>
  <c r="O44" i="65"/>
  <c r="O45" i="65" s="1"/>
  <c r="N138" i="130"/>
  <c r="N77" i="130"/>
  <c r="P40" i="130"/>
  <c r="O67" i="130"/>
  <c r="O41" i="130"/>
  <c r="L25" i="104"/>
  <c r="L26" i="104" s="1"/>
  <c r="K53" i="65"/>
  <c r="L53" i="65"/>
  <c r="M53" i="65"/>
  <c r="O53" i="65"/>
  <c r="N53" i="65"/>
  <c r="E29" i="49"/>
  <c r="E28" i="49"/>
  <c r="E41" i="49"/>
  <c r="E27" i="49"/>
  <c r="E34" i="49"/>
  <c r="G25" i="69" a="1"/>
  <c r="G25" i="69" s="1"/>
  <c r="H26" i="69" a="1"/>
  <c r="H26" i="69" s="1"/>
  <c r="K26" i="69" a="1"/>
  <c r="K26" i="69" s="1"/>
  <c r="G27" i="69" a="1"/>
  <c r="G27" i="69" s="1"/>
  <c r="H19" i="69" a="1"/>
  <c r="H19" i="69" s="1"/>
  <c r="H25" i="69" a="1"/>
  <c r="H25" i="69" s="1"/>
  <c r="G26" i="69" a="1"/>
  <c r="G26" i="69" s="1"/>
  <c r="K27" i="69" a="1"/>
  <c r="K27" i="69" s="1"/>
  <c r="K18" i="69" a="1"/>
  <c r="K18" i="69" s="1"/>
  <c r="H18" i="69" a="1"/>
  <c r="H18" i="69" s="1"/>
  <c r="I27" i="69" a="1"/>
  <c r="I27" i="69" s="1"/>
  <c r="I25" i="69" a="1"/>
  <c r="I25" i="69" s="1"/>
  <c r="H28" i="69" a="1"/>
  <c r="H28" i="69" s="1"/>
  <c r="J19" i="69" a="1"/>
  <c r="J19" i="69" s="1"/>
  <c r="H24" i="69" a="1"/>
  <c r="H24" i="69" s="1"/>
  <c r="K19" i="69" a="1"/>
  <c r="K19" i="69" s="1"/>
  <c r="J26" i="69" a="1"/>
  <c r="J26" i="69" s="1"/>
  <c r="J27" i="69" a="1"/>
  <c r="J27" i="69" s="1"/>
  <c r="J25" i="69" a="1"/>
  <c r="J25" i="69" s="1"/>
  <c r="I26" i="69" a="1"/>
  <c r="I26" i="69" s="1"/>
  <c r="J24" i="69" a="1"/>
  <c r="J24" i="69" s="1"/>
  <c r="G19" i="69" a="1"/>
  <c r="G19" i="69" s="1"/>
  <c r="I19" i="69" a="1"/>
  <c r="I19" i="69" s="1"/>
  <c r="G28" i="69" a="1"/>
  <c r="G28" i="69" s="1"/>
  <c r="K28" i="69" a="1"/>
  <c r="K28" i="69" s="1"/>
  <c r="J28" i="69" a="1"/>
  <c r="J28" i="69" s="1"/>
  <c r="K24" i="69" a="1"/>
  <c r="K24" i="69" s="1"/>
  <c r="J18" i="69" a="1"/>
  <c r="J18" i="69" s="1"/>
  <c r="I18" i="69" a="1"/>
  <c r="I18" i="69" s="1"/>
  <c r="I24" i="69" a="1"/>
  <c r="I24" i="69" s="1"/>
  <c r="H27" i="69" a="1"/>
  <c r="H27" i="69" s="1"/>
  <c r="G18" i="69" a="1"/>
  <c r="G18" i="69" s="1"/>
  <c r="K25" i="69" a="1"/>
  <c r="K25" i="69" s="1"/>
  <c r="O44" i="42"/>
  <c r="O45" i="42" s="1"/>
  <c r="H17" i="69" a="1"/>
  <c r="H17" i="69" s="1"/>
  <c r="L44" i="65"/>
  <c r="L45" i="65" s="1"/>
  <c r="I17" i="69" a="1"/>
  <c r="I17" i="69" s="1"/>
  <c r="M44" i="65"/>
  <c r="I20" i="69" s="1" a="1"/>
  <c r="I20" i="69" s="1"/>
  <c r="K44" i="42"/>
  <c r="G19" i="49" s="1" a="1"/>
  <c r="G19" i="49" s="1"/>
  <c r="G17" i="69" a="1"/>
  <c r="G17" i="69" s="1"/>
  <c r="K44" i="65"/>
  <c r="K45" i="65" s="1"/>
  <c r="J17" i="69" a="1"/>
  <c r="J17" i="69" s="1"/>
  <c r="N44" i="65"/>
  <c r="N45" i="65" s="1"/>
  <c r="K17" i="69" a="1"/>
  <c r="K17" i="69" s="1"/>
  <c r="L44" i="42"/>
  <c r="L45" i="42" s="1"/>
  <c r="L53" i="42" s="1"/>
  <c r="M44" i="42"/>
  <c r="M45" i="42" s="1"/>
  <c r="N44" i="42"/>
  <c r="N45" i="42" s="1"/>
  <c r="J11" i="48"/>
  <c r="I12" i="49"/>
  <c r="H12" i="50" s="1"/>
  <c r="Q12" i="49"/>
  <c r="P12" i="50" s="1"/>
  <c r="P12" i="49"/>
  <c r="O12" i="50" s="1"/>
  <c r="I28" i="69" a="1"/>
  <c r="I28" i="69" s="1"/>
  <c r="H18" i="49" a="1"/>
  <c r="H18" i="49" s="1"/>
  <c r="K18" i="49" a="1"/>
  <c r="K18" i="49" s="1"/>
  <c r="I18" i="49" a="1"/>
  <c r="I18" i="49" s="1"/>
  <c r="J18" i="49" a="1"/>
  <c r="J18" i="49" s="1"/>
  <c r="G18" i="49" a="1"/>
  <c r="G18" i="49" s="1"/>
  <c r="G24" i="69" a="1"/>
  <c r="G24" i="69" s="1"/>
  <c r="H12" i="70"/>
  <c r="I12" i="70"/>
  <c r="J12" i="70"/>
  <c r="F12" i="70"/>
  <c r="G12" i="70"/>
  <c r="G12" i="50"/>
  <c r="J12" i="50"/>
  <c r="N12" i="50"/>
  <c r="I12" i="50"/>
  <c r="M12" i="50"/>
  <c r="L12" i="50"/>
  <c r="M47" i="49"/>
  <c r="L11" i="48"/>
  <c r="K11" i="48"/>
  <c r="G23" i="49" a="1"/>
  <c r="G23" i="49" s="1"/>
  <c r="J24" i="49" a="1"/>
  <c r="J24" i="49" s="1"/>
  <c r="H24" i="49" a="1"/>
  <c r="H24" i="49" s="1"/>
  <c r="H17" i="49" a="1"/>
  <c r="H17" i="49" s="1"/>
  <c r="J25" i="49" a="1"/>
  <c r="J25" i="49" s="1"/>
  <c r="H23" i="49" a="1"/>
  <c r="H23" i="49" s="1"/>
  <c r="G24" i="49" a="1"/>
  <c r="G24" i="49" s="1"/>
  <c r="I23" i="49" a="1"/>
  <c r="I23" i="49" s="1"/>
  <c r="K26" i="49" a="1"/>
  <c r="K26" i="49" s="1"/>
  <c r="G26" i="49" a="1"/>
  <c r="G26" i="49" s="1"/>
  <c r="J26" i="49" a="1"/>
  <c r="J26" i="49" s="1"/>
  <c r="H26" i="49" a="1"/>
  <c r="H26" i="49" s="1"/>
  <c r="H25" i="49" a="1"/>
  <c r="H25" i="49" s="1"/>
  <c r="K25" i="49" a="1"/>
  <c r="K25" i="49" s="1"/>
  <c r="J23" i="49" a="1"/>
  <c r="J23" i="49" s="1"/>
  <c r="K23" i="49" a="1"/>
  <c r="K23" i="49" s="1"/>
  <c r="I17" i="49" a="1"/>
  <c r="I17" i="49" s="1"/>
  <c r="I11" i="48"/>
  <c r="J17" i="49" a="1"/>
  <c r="J17" i="49" s="1"/>
  <c r="I25" i="49" a="1"/>
  <c r="I25" i="49" s="1"/>
  <c r="G17" i="49" a="1"/>
  <c r="G17" i="49" s="1"/>
  <c r="K17" i="49" a="1"/>
  <c r="K17" i="49" s="1"/>
  <c r="I26" i="49" a="1"/>
  <c r="I26" i="49" s="1"/>
  <c r="G25" i="49" a="1"/>
  <c r="G25" i="49" s="1"/>
  <c r="I24" i="49" a="1"/>
  <c r="I24" i="49" s="1"/>
  <c r="K24" i="49" a="1"/>
  <c r="K24" i="49" s="1"/>
  <c r="T40" i="49"/>
  <c r="D40" i="49" s="1"/>
  <c r="T39" i="49"/>
  <c r="D39" i="49" s="1"/>
  <c r="N12" i="70"/>
  <c r="O49" i="69"/>
  <c r="M49" i="69"/>
  <c r="L12" i="70"/>
  <c r="P49" i="69"/>
  <c r="O12" i="70"/>
  <c r="M12" i="70"/>
  <c r="N49" i="69"/>
  <c r="G42" i="81"/>
  <c r="H42" i="81"/>
  <c r="I42" i="81"/>
  <c r="J42" i="81"/>
  <c r="K42" i="81"/>
  <c r="L42" i="81"/>
  <c r="M42" i="81"/>
  <c r="N42" i="81"/>
  <c r="O42" i="81"/>
  <c r="F42" i="81"/>
  <c r="O49" i="81"/>
  <c r="O48" i="81" s="1"/>
  <c r="P48" i="79" s="1"/>
  <c r="O68" i="65" s="1"/>
  <c r="N49" i="81"/>
  <c r="N48" i="81" s="1"/>
  <c r="O48" i="79" s="1"/>
  <c r="N68" i="65" s="1"/>
  <c r="M49" i="81"/>
  <c r="M48" i="81" s="1"/>
  <c r="N48" i="79" s="1"/>
  <c r="M68" i="65" s="1"/>
  <c r="L49" i="81"/>
  <c r="L48" i="81" s="1"/>
  <c r="M48" i="79" s="1"/>
  <c r="L68" i="65" s="1"/>
  <c r="K49" i="81"/>
  <c r="K48" i="81" s="1"/>
  <c r="L48" i="79" s="1"/>
  <c r="K68" i="65" s="1"/>
  <c r="J49" i="81"/>
  <c r="J48" i="81" s="1"/>
  <c r="K48" i="79" s="1"/>
  <c r="I49" i="81"/>
  <c r="I48" i="81" s="1"/>
  <c r="J48" i="79" s="1"/>
  <c r="H49" i="81"/>
  <c r="H48" i="81" s="1"/>
  <c r="I48" i="79" s="1"/>
  <c r="M67" i="42" s="1"/>
  <c r="G49" i="81"/>
  <c r="G48" i="81" s="1"/>
  <c r="H48" i="79" s="1"/>
  <c r="F49" i="81"/>
  <c r="F48" i="81" s="1"/>
  <c r="G48" i="79" s="1"/>
  <c r="K67" i="42" s="1"/>
  <c r="G38" i="49" s="1" a="1"/>
  <c r="G38" i="49" s="1"/>
  <c r="O52" i="81"/>
  <c r="N52" i="81"/>
  <c r="M52" i="81"/>
  <c r="L52" i="81"/>
  <c r="K52" i="81"/>
  <c r="J52" i="81"/>
  <c r="I52" i="81"/>
  <c r="H52" i="81"/>
  <c r="G52" i="81"/>
  <c r="F52" i="81"/>
  <c r="P26" i="79"/>
  <c r="P30" i="79" s="1"/>
  <c r="O26" i="79"/>
  <c r="O30" i="79" s="1"/>
  <c r="N26" i="79"/>
  <c r="N30" i="79" s="1"/>
  <c r="M26" i="79"/>
  <c r="M30" i="79" s="1"/>
  <c r="L26" i="79"/>
  <c r="L30" i="79" s="1"/>
  <c r="K26" i="79"/>
  <c r="K30" i="79" s="1"/>
  <c r="J26" i="79"/>
  <c r="J30" i="79" s="1"/>
  <c r="I26" i="79"/>
  <c r="I30" i="79" s="1"/>
  <c r="H26" i="79"/>
  <c r="H30" i="79" s="1"/>
  <c r="G26" i="79"/>
  <c r="G30" i="79" s="1"/>
  <c r="P20" i="79"/>
  <c r="O20" i="79"/>
  <c r="N20" i="79"/>
  <c r="M20" i="79"/>
  <c r="L20" i="79"/>
  <c r="K20" i="79"/>
  <c r="J20" i="79"/>
  <c r="I20" i="79"/>
  <c r="H20" i="79"/>
  <c r="G20" i="79"/>
  <c r="K10" i="79"/>
  <c r="J10" i="79"/>
  <c r="I10" i="79"/>
  <c r="H10" i="79"/>
  <c r="N24" i="104" l="1"/>
  <c r="M25" i="104"/>
  <c r="M26" i="104" s="1"/>
  <c r="K29" i="69" a="1"/>
  <c r="K29" i="69" s="1"/>
  <c r="K20" i="69" a="1"/>
  <c r="K20" i="69" s="1"/>
  <c r="O53" i="42"/>
  <c r="O54" i="42" s="1"/>
  <c r="O55" i="42" s="1"/>
  <c r="O77" i="130"/>
  <c r="O138" i="130"/>
  <c r="P67" i="130"/>
  <c r="P41" i="130"/>
  <c r="Q40" i="130"/>
  <c r="K27" i="49" a="1"/>
  <c r="K27" i="49" s="1"/>
  <c r="K19" i="49" a="1"/>
  <c r="K19" i="49" s="1"/>
  <c r="L67" i="42"/>
  <c r="H38" i="49" s="1" a="1"/>
  <c r="H38" i="49" s="1"/>
  <c r="N67" i="42"/>
  <c r="J38" i="49" s="1" a="1"/>
  <c r="J38" i="49" s="1"/>
  <c r="O67" i="42"/>
  <c r="K38" i="49" s="1" a="1"/>
  <c r="K38" i="49" s="1"/>
  <c r="G20" i="69" a="1"/>
  <c r="G20" i="69" s="1"/>
  <c r="M53" i="42"/>
  <c r="M45" i="65"/>
  <c r="M54" i="65" s="1"/>
  <c r="N53" i="42"/>
  <c r="N54" i="42" s="1"/>
  <c r="N55" i="42" s="1"/>
  <c r="L54" i="42"/>
  <c r="L55" i="42" s="1"/>
  <c r="K54" i="65"/>
  <c r="G29" i="69" a="1"/>
  <c r="G29" i="69" s="1"/>
  <c r="L54" i="65"/>
  <c r="H29" i="69" a="1"/>
  <c r="H29" i="69" s="1"/>
  <c r="J20" i="69" a="1"/>
  <c r="J20" i="69" s="1"/>
  <c r="I29" i="69" a="1"/>
  <c r="I29" i="69" s="1"/>
  <c r="H20" i="69" a="1"/>
  <c r="H20" i="69" s="1"/>
  <c r="J29" i="69" a="1"/>
  <c r="J29" i="69" s="1"/>
  <c r="N54" i="65"/>
  <c r="O54" i="65"/>
  <c r="E40" i="49"/>
  <c r="H41" i="69" a="1"/>
  <c r="H41" i="69" s="1"/>
  <c r="I41" i="69" a="1"/>
  <c r="I41" i="69" s="1"/>
  <c r="J41" i="69" a="1"/>
  <c r="J41" i="69" s="1"/>
  <c r="G41" i="69" a="1"/>
  <c r="G41" i="69" s="1"/>
  <c r="K41" i="69" a="1"/>
  <c r="K41" i="69" s="1"/>
  <c r="O47" i="49"/>
  <c r="H19" i="49" a="1"/>
  <c r="H19" i="49" s="1"/>
  <c r="H27" i="49" a="1"/>
  <c r="H27" i="49" s="1"/>
  <c r="I19" i="49" a="1"/>
  <c r="I19" i="49" s="1"/>
  <c r="J27" i="49" a="1"/>
  <c r="J27" i="49" s="1"/>
  <c r="K45" i="42"/>
  <c r="K53" i="42" s="1"/>
  <c r="G27" i="49" a="1"/>
  <c r="G27" i="49" s="1"/>
  <c r="I27" i="49" a="1"/>
  <c r="I27" i="49" s="1"/>
  <c r="J19" i="49" a="1"/>
  <c r="J19" i="49" s="1"/>
  <c r="I38" i="49" a="1"/>
  <c r="I38" i="49" s="1"/>
  <c r="P47" i="49"/>
  <c r="Q47" i="49"/>
  <c r="N47" i="49"/>
  <c r="P31" i="79"/>
  <c r="P32" i="79" s="1"/>
  <c r="P33" i="79" s="1"/>
  <c r="P35" i="79" s="1"/>
  <c r="L31" i="79"/>
  <c r="L32" i="79" s="1"/>
  <c r="L33" i="79" s="1"/>
  <c r="L35" i="79" s="1"/>
  <c r="M31" i="79"/>
  <c r="M32" i="79" s="1"/>
  <c r="M33" i="79" s="1"/>
  <c r="M35" i="79" s="1"/>
  <c r="O31" i="79"/>
  <c r="O32" i="79" s="1"/>
  <c r="K31" i="79"/>
  <c r="K32" i="79" s="1"/>
  <c r="N31" i="79"/>
  <c r="N32" i="79" s="1"/>
  <c r="G31" i="79"/>
  <c r="G32" i="79" s="1"/>
  <c r="G33" i="79" s="1"/>
  <c r="G35" i="79" s="1"/>
  <c r="H31" i="79"/>
  <c r="H32" i="79" s="1"/>
  <c r="I31" i="79"/>
  <c r="I32" i="79" s="1"/>
  <c r="I33" i="79" s="1"/>
  <c r="I35" i="79" s="1"/>
  <c r="J31" i="79"/>
  <c r="J32" i="79" s="1"/>
  <c r="O24" i="104" l="1"/>
  <c r="Q67" i="130"/>
  <c r="Q41" i="130"/>
  <c r="R40" i="130"/>
  <c r="P138" i="130"/>
  <c r="P77" i="130"/>
  <c r="M54" i="42"/>
  <c r="M55" i="42" s="1"/>
  <c r="N25" i="104"/>
  <c r="N26" i="104" s="1"/>
  <c r="M42" i="79"/>
  <c r="L42" i="79"/>
  <c r="O55" i="65"/>
  <c r="O56" i="65" s="1"/>
  <c r="L55" i="65"/>
  <c r="L56" i="65" s="1"/>
  <c r="M55" i="65"/>
  <c r="M56" i="65" s="1"/>
  <c r="N55" i="65"/>
  <c r="N56" i="65" s="1"/>
  <c r="K55" i="65"/>
  <c r="K56" i="65" s="1"/>
  <c r="K54" i="42"/>
  <c r="K55" i="42" s="1"/>
  <c r="G28" i="49" a="1"/>
  <c r="G28" i="49" s="1"/>
  <c r="J28" i="49" a="1"/>
  <c r="J28" i="49" s="1"/>
  <c r="H28" i="49" a="1"/>
  <c r="H28" i="49" s="1"/>
  <c r="I28" i="49" a="1"/>
  <c r="I28" i="49" s="1"/>
  <c r="G30" i="69" a="1"/>
  <c r="G30" i="69" s="1"/>
  <c r="K28" i="49" a="1"/>
  <c r="K28" i="49" s="1"/>
  <c r="K30" i="69" a="1"/>
  <c r="K30" i="69" s="1"/>
  <c r="J30" i="69" a="1"/>
  <c r="J30" i="69" s="1"/>
  <c r="H30" i="69" a="1"/>
  <c r="H30" i="69" s="1"/>
  <c r="I30" i="69" a="1"/>
  <c r="I30" i="69" s="1"/>
  <c r="M41" i="79"/>
  <c r="M40" i="79"/>
  <c r="O33" i="79"/>
  <c r="O35" i="79" s="1"/>
  <c r="K33" i="79"/>
  <c r="K35" i="79" s="1"/>
  <c r="L41" i="79"/>
  <c r="L40" i="79"/>
  <c r="H33" i="79"/>
  <c r="H35" i="79" s="1"/>
  <c r="I41" i="79"/>
  <c r="I42" i="79"/>
  <c r="I40" i="79"/>
  <c r="P42" i="79"/>
  <c r="P40" i="79"/>
  <c r="P41" i="79"/>
  <c r="G41" i="79"/>
  <c r="G42" i="79"/>
  <c r="G40" i="79"/>
  <c r="N33" i="79"/>
  <c r="N35" i="79" s="1"/>
  <c r="J33" i="79"/>
  <c r="J35" i="79" s="1"/>
  <c r="P24" i="104" l="1"/>
  <c r="O25" i="104"/>
  <c r="O26" i="104" s="1"/>
  <c r="R41" i="130"/>
  <c r="R67" i="130"/>
  <c r="S40" i="130"/>
  <c r="Q138" i="130"/>
  <c r="Q77" i="130"/>
  <c r="H41" i="79"/>
  <c r="O42" i="79"/>
  <c r="K31" i="69" a="1"/>
  <c r="K31" i="69" s="1"/>
  <c r="K15" i="69" s="1"/>
  <c r="I31" i="69" a="1"/>
  <c r="I31" i="69" s="1"/>
  <c r="H31" i="69" a="1"/>
  <c r="H31" i="69" s="1"/>
  <c r="H15" i="69" s="1"/>
  <c r="J31" i="69" a="1"/>
  <c r="J31" i="69" s="1"/>
  <c r="J15" i="69" s="1"/>
  <c r="G29" i="49" a="1"/>
  <c r="G29" i="49" s="1"/>
  <c r="G15" i="49" s="1"/>
  <c r="H29" i="49" a="1"/>
  <c r="H29" i="49" s="1"/>
  <c r="H15" i="49" s="1"/>
  <c r="J29" i="49" a="1"/>
  <c r="J29" i="49" s="1"/>
  <c r="J15" i="49" s="1"/>
  <c r="I29" i="49" a="1"/>
  <c r="I29" i="49" s="1"/>
  <c r="K29" i="49" a="1"/>
  <c r="K29" i="49" s="1"/>
  <c r="K15" i="49" s="1"/>
  <c r="G31" i="69" a="1"/>
  <c r="G31" i="69" s="1"/>
  <c r="G15" i="69" s="1"/>
  <c r="O41" i="79"/>
  <c r="O40" i="79"/>
  <c r="K41" i="79"/>
  <c r="K42" i="79"/>
  <c r="K40" i="79"/>
  <c r="H40" i="79"/>
  <c r="H42" i="79"/>
  <c r="J41" i="79"/>
  <c r="J42" i="79"/>
  <c r="J40" i="79"/>
  <c r="N42" i="79"/>
  <c r="N40" i="79"/>
  <c r="N41" i="79"/>
  <c r="Q24" i="104" l="1"/>
  <c r="S41" i="130"/>
  <c r="T40" i="130"/>
  <c r="S67" i="130"/>
  <c r="R77" i="130"/>
  <c r="R138" i="130"/>
  <c r="P25" i="104"/>
  <c r="P26" i="104" s="1"/>
  <c r="I15" i="49"/>
  <c r="O58" i="65"/>
  <c r="M58" i="65"/>
  <c r="L58" i="65"/>
  <c r="N58" i="65"/>
  <c r="K58" i="65"/>
  <c r="M57" i="42"/>
  <c r="N57" i="42"/>
  <c r="L57" i="42"/>
  <c r="O57" i="42"/>
  <c r="K57" i="42"/>
  <c r="I15" i="69"/>
  <c r="R24" i="104" l="1"/>
  <c r="K63" i="65"/>
  <c r="G35" i="69" s="1" a="1"/>
  <c r="G35" i="69" s="1"/>
  <c r="K63" i="42"/>
  <c r="G34" i="49" s="1" a="1"/>
  <c r="G34" i="49" s="1"/>
  <c r="T41" i="130"/>
  <c r="U40" i="130"/>
  <c r="T67" i="130"/>
  <c r="S77" i="130"/>
  <c r="S138" i="130"/>
  <c r="N62" i="65"/>
  <c r="N63" i="65"/>
  <c r="J35" i="69" s="1" a="1"/>
  <c r="J35" i="69" s="1"/>
  <c r="L62" i="65"/>
  <c r="L63" i="65"/>
  <c r="H35" i="69" s="1" a="1"/>
  <c r="H35" i="69" s="1"/>
  <c r="M62" i="65"/>
  <c r="M63" i="65"/>
  <c r="I35" i="69" s="1" a="1"/>
  <c r="I35" i="69" s="1"/>
  <c r="O62" i="65"/>
  <c r="O63" i="65"/>
  <c r="K35" i="69" s="1" a="1"/>
  <c r="K35" i="69" s="1"/>
  <c r="K64" i="65"/>
  <c r="G36" i="69" s="1" a="1"/>
  <c r="G36" i="69" s="1"/>
  <c r="K62" i="65"/>
  <c r="Q25" i="104"/>
  <c r="Q26" i="104" s="1"/>
  <c r="L61" i="42"/>
  <c r="L62" i="42"/>
  <c r="L63" i="42"/>
  <c r="O62" i="42"/>
  <c r="O61" i="42"/>
  <c r="O63" i="42"/>
  <c r="M62" i="42"/>
  <c r="M63" i="42"/>
  <c r="M61" i="42"/>
  <c r="N61" i="42"/>
  <c r="N62" i="42"/>
  <c r="N63" i="42"/>
  <c r="J34" i="49" s="1" a="1"/>
  <c r="J34" i="49" s="1"/>
  <c r="M64" i="65"/>
  <c r="N64" i="65"/>
  <c r="J36" i="69" s="1" a="1"/>
  <c r="J36" i="69" s="1"/>
  <c r="L64" i="65"/>
  <c r="O64" i="65"/>
  <c r="K36" i="69" s="1" a="1"/>
  <c r="K36" i="69" s="1"/>
  <c r="K62" i="42"/>
  <c r="K61" i="42"/>
  <c r="I13" i="47"/>
  <c r="J13" i="47"/>
  <c r="K13" i="47"/>
  <c r="L13" i="47"/>
  <c r="H13" i="47"/>
  <c r="I12" i="47"/>
  <c r="J12" i="47"/>
  <c r="K12" i="47"/>
  <c r="L12" i="47"/>
  <c r="H12" i="47"/>
  <c r="I25" i="47"/>
  <c r="J25" i="47"/>
  <c r="K25" i="47"/>
  <c r="L25" i="47"/>
  <c r="H25" i="47"/>
  <c r="I19" i="47"/>
  <c r="J19" i="47"/>
  <c r="K19" i="47"/>
  <c r="L19" i="47"/>
  <c r="H19" i="47"/>
  <c r="S24" i="104" l="1"/>
  <c r="J34" i="69" a="1"/>
  <c r="J34" i="69" s="1"/>
  <c r="K34" i="69" a="1"/>
  <c r="K34" i="69" s="1"/>
  <c r="I34" i="69" a="1"/>
  <c r="I34" i="69" s="1"/>
  <c r="H34" i="69" a="1"/>
  <c r="H34" i="69" s="1"/>
  <c r="G34" i="69" a="1"/>
  <c r="G34" i="69" s="1"/>
  <c r="V40" i="130"/>
  <c r="U67" i="130"/>
  <c r="U41" i="130"/>
  <c r="T77" i="130"/>
  <c r="T138" i="130"/>
  <c r="H36" i="69" a="1"/>
  <c r="H36" i="69" s="1"/>
  <c r="I36" i="69" a="1"/>
  <c r="I36" i="69" s="1"/>
  <c r="R25" i="104"/>
  <c r="R26" i="104" s="1"/>
  <c r="I34" i="49" a="1"/>
  <c r="I34" i="49" s="1"/>
  <c r="K34" i="49" a="1"/>
  <c r="K34" i="49" s="1"/>
  <c r="H34" i="49" a="1"/>
  <c r="H34" i="49" s="1"/>
  <c r="T21" i="46"/>
  <c r="Z43" i="41"/>
  <c r="K43" i="41" s="1"/>
  <c r="Z44" i="41"/>
  <c r="D44" i="41" s="1"/>
  <c r="T20" i="46" s="1"/>
  <c r="Z41" i="41"/>
  <c r="K41" i="41" s="1"/>
  <c r="Z42" i="41"/>
  <c r="L42" i="41" s="1"/>
  <c r="Z40" i="41"/>
  <c r="L40" i="41" s="1"/>
  <c r="Z45" i="43"/>
  <c r="L45" i="43" s="1"/>
  <c r="Z46" i="43"/>
  <c r="Z44" i="43"/>
  <c r="N44" i="43" s="1"/>
  <c r="Z43" i="43"/>
  <c r="O43" i="43" s="1"/>
  <c r="Z42" i="43"/>
  <c r="Z11" i="43"/>
  <c r="H11" i="43" s="1"/>
  <c r="Z12" i="43"/>
  <c r="H12" i="43" s="1"/>
  <c r="Z13" i="43"/>
  <c r="H13" i="43" s="1"/>
  <c r="Z10" i="43"/>
  <c r="H10" i="43" s="1"/>
  <c r="T24" i="104" l="1"/>
  <c r="O42" i="43"/>
  <c r="L42" i="43"/>
  <c r="K42" i="43"/>
  <c r="N42" i="43"/>
  <c r="M42" i="43"/>
  <c r="U138" i="130"/>
  <c r="U77" i="130"/>
  <c r="W40" i="130"/>
  <c r="V67" i="130"/>
  <c r="V41" i="130"/>
  <c r="S25" i="104"/>
  <c r="S26" i="104" s="1"/>
  <c r="D40" i="41"/>
  <c r="O41" i="41"/>
  <c r="O43" i="41"/>
  <c r="N43" i="41"/>
  <c r="N41" i="41"/>
  <c r="D43" i="41"/>
  <c r="T19" i="46" s="1"/>
  <c r="M43" i="41"/>
  <c r="M41" i="41"/>
  <c r="D42" i="41"/>
  <c r="T18" i="46" s="1"/>
  <c r="L43" i="41"/>
  <c r="L41" i="41"/>
  <c r="D41" i="41"/>
  <c r="K40" i="41"/>
  <c r="O42" i="41"/>
  <c r="O40" i="41"/>
  <c r="N42" i="41"/>
  <c r="N40" i="41"/>
  <c r="K42" i="41"/>
  <c r="M42" i="41"/>
  <c r="M40" i="41"/>
  <c r="D20" i="46"/>
  <c r="D21" i="46"/>
  <c r="K44" i="43"/>
  <c r="M44" i="43"/>
  <c r="K45" i="43"/>
  <c r="L43" i="43"/>
  <c r="L44" i="43"/>
  <c r="N43" i="43"/>
  <c r="M43" i="43"/>
  <c r="O45" i="43"/>
  <c r="N45" i="43"/>
  <c r="M45" i="43"/>
  <c r="K43" i="43"/>
  <c r="O44" i="43"/>
  <c r="E11" i="43"/>
  <c r="E10" i="43"/>
  <c r="E12" i="43"/>
  <c r="U24" i="104" l="1"/>
  <c r="V77" i="130"/>
  <c r="V138" i="130"/>
  <c r="X40" i="130"/>
  <c r="W67" i="130"/>
  <c r="W41" i="130"/>
  <c r="T25" i="104"/>
  <c r="T26" i="104" s="1"/>
  <c r="L53" i="43"/>
  <c r="M53" i="43"/>
  <c r="O46" i="43"/>
  <c r="O47" i="43" s="1"/>
  <c r="K46" i="43"/>
  <c r="K47" i="43" s="1"/>
  <c r="N53" i="43"/>
  <c r="O53" i="43"/>
  <c r="K53" i="43"/>
  <c r="L46" i="43"/>
  <c r="L47" i="43" s="1"/>
  <c r="M46" i="43"/>
  <c r="M47" i="43" s="1"/>
  <c r="N46" i="43"/>
  <c r="N47" i="43" s="1"/>
  <c r="I19" i="46"/>
  <c r="H19" i="46"/>
  <c r="G19" i="46"/>
  <c r="D19" i="46"/>
  <c r="D18" i="46"/>
  <c r="F19" i="46"/>
  <c r="J19" i="46"/>
  <c r="F18" i="46"/>
  <c r="I18" i="46"/>
  <c r="G18" i="46"/>
  <c r="H18" i="46"/>
  <c r="J18" i="46"/>
  <c r="Z14" i="41"/>
  <c r="H14" i="41" s="1"/>
  <c r="J57" i="76"/>
  <c r="J56" i="76" s="1"/>
  <c r="K39" i="77" s="1"/>
  <c r="I57" i="76"/>
  <c r="I56" i="76" s="1"/>
  <c r="J39" i="77" s="1"/>
  <c r="H57" i="76"/>
  <c r="H56" i="76" s="1"/>
  <c r="I39" i="77" s="1"/>
  <c r="G57" i="76"/>
  <c r="G56" i="76" s="1"/>
  <c r="H39" i="77" s="1"/>
  <c r="F57" i="76"/>
  <c r="F56" i="76" s="1"/>
  <c r="G39" i="77" s="1"/>
  <c r="J60" i="76"/>
  <c r="I60" i="76"/>
  <c r="H60" i="76"/>
  <c r="G60" i="76"/>
  <c r="F60" i="76"/>
  <c r="V24" i="104" l="1"/>
  <c r="W77" i="130"/>
  <c r="W138" i="130"/>
  <c r="X67" i="130"/>
  <c r="Y40" i="130"/>
  <c r="X41" i="130"/>
  <c r="K52" i="43"/>
  <c r="K54" i="43"/>
  <c r="G27" i="45" s="1" a="1"/>
  <c r="G27" i="45" s="1"/>
  <c r="G40" i="77"/>
  <c r="G41" i="77" s="1"/>
  <c r="G42" i="77" s="1"/>
  <c r="G45" i="77" s="1"/>
  <c r="L54" i="43"/>
  <c r="H27" i="45" s="1" a="1"/>
  <c r="H27" i="45" s="1"/>
  <c r="H40" i="77"/>
  <c r="H41" i="77" s="1"/>
  <c r="H42" i="77" s="1"/>
  <c r="H45" i="77" s="1"/>
  <c r="M54" i="43"/>
  <c r="I27" i="45" s="1" a="1"/>
  <c r="I27" i="45" s="1"/>
  <c r="I40" i="77"/>
  <c r="I41" i="77" s="1"/>
  <c r="I42" i="77" s="1"/>
  <c r="I45" i="77" s="1"/>
  <c r="N54" i="43"/>
  <c r="J27" i="45" s="1" a="1"/>
  <c r="J27" i="45" s="1"/>
  <c r="J40" i="77"/>
  <c r="J41" i="77" s="1"/>
  <c r="J42" i="77" s="1"/>
  <c r="J45" i="77" s="1"/>
  <c r="O54" i="43"/>
  <c r="K27" i="45" s="1" a="1"/>
  <c r="K27" i="45" s="1"/>
  <c r="K40" i="77"/>
  <c r="K41" i="77" s="1"/>
  <c r="K42" i="77" s="1"/>
  <c r="K45" i="77" s="1"/>
  <c r="U25" i="104"/>
  <c r="U26" i="104" s="1"/>
  <c r="O51" i="43"/>
  <c r="O52" i="43"/>
  <c r="L52" i="43"/>
  <c r="L51" i="43"/>
  <c r="M52" i="43"/>
  <c r="M51" i="43"/>
  <c r="K51" i="43"/>
  <c r="N52" i="43"/>
  <c r="N51" i="43"/>
  <c r="Z35" i="43"/>
  <c r="L35" i="43" s="1"/>
  <c r="H12" i="45" s="1"/>
  <c r="Z34" i="41"/>
  <c r="N34" i="41" s="1"/>
  <c r="P42" i="1"/>
  <c r="H42" i="1" s="1"/>
  <c r="O68" i="1"/>
  <c r="D68" i="1" s="1"/>
  <c r="O72" i="1"/>
  <c r="D72" i="1" s="1"/>
  <c r="O75" i="1"/>
  <c r="O86" i="1"/>
  <c r="W24" i="104" l="1"/>
  <c r="K11" i="47"/>
  <c r="K17" i="47" s="1"/>
  <c r="K22" i="47" s="1"/>
  <c r="I13" i="130"/>
  <c r="X138" i="130"/>
  <c r="X77" i="130"/>
  <c r="Y67" i="130"/>
  <c r="Y41" i="130"/>
  <c r="Z40" i="130"/>
  <c r="J17" i="78"/>
  <c r="K47" i="77"/>
  <c r="K46" i="77"/>
  <c r="J47" i="77"/>
  <c r="J46" i="77"/>
  <c r="I17" i="78"/>
  <c r="I46" i="77"/>
  <c r="I47" i="77"/>
  <c r="H17" i="78"/>
  <c r="G17" i="78"/>
  <c r="H46" i="77"/>
  <c r="H47" i="77"/>
  <c r="F17" i="78"/>
  <c r="G47" i="77"/>
  <c r="G46" i="77"/>
  <c r="V25" i="104"/>
  <c r="V26" i="104" s="1"/>
  <c r="K56" i="43"/>
  <c r="G29" i="45" s="1" a="1"/>
  <c r="G29" i="45" s="1"/>
  <c r="M56" i="43"/>
  <c r="I29" i="45" s="1" a="1"/>
  <c r="I29" i="45" s="1"/>
  <c r="L56" i="43"/>
  <c r="H29" i="45" s="1" a="1"/>
  <c r="H29" i="45" s="1"/>
  <c r="N56" i="43"/>
  <c r="J29" i="45" s="1" a="1"/>
  <c r="J29" i="45" s="1"/>
  <c r="O56" i="43"/>
  <c r="K29" i="45" s="1" a="1"/>
  <c r="K29" i="45" s="1"/>
  <c r="L34" i="41"/>
  <c r="K34" i="41"/>
  <c r="O34" i="41"/>
  <c r="S34" i="41"/>
  <c r="M12" i="46" s="1"/>
  <c r="T34" i="41"/>
  <c r="N12" i="46" s="1"/>
  <c r="U34" i="41"/>
  <c r="O12" i="46" s="1"/>
  <c r="V34" i="41"/>
  <c r="P12" i="46" s="1"/>
  <c r="R34" i="41"/>
  <c r="L12" i="46" s="1"/>
  <c r="M34" i="41"/>
  <c r="O35" i="43"/>
  <c r="K12" i="45" s="1"/>
  <c r="K35" i="43"/>
  <c r="G12" i="45" s="1"/>
  <c r="S35" i="43"/>
  <c r="N12" i="45" s="1"/>
  <c r="T35" i="43"/>
  <c r="O12" i="45" s="1"/>
  <c r="U35" i="43"/>
  <c r="P12" i="45" s="1"/>
  <c r="V35" i="43"/>
  <c r="Q12" i="45" s="1"/>
  <c r="N35" i="43"/>
  <c r="J12" i="45" s="1"/>
  <c r="M35" i="43"/>
  <c r="I12" i="45" s="1"/>
  <c r="R35" i="43"/>
  <c r="M12" i="45" s="1"/>
  <c r="X24" i="104" l="1"/>
  <c r="I11" i="47"/>
  <c r="I17" i="47" s="1"/>
  <c r="I22" i="47" s="1"/>
  <c r="J11" i="47"/>
  <c r="J17" i="47" s="1"/>
  <c r="J22" i="47" s="1"/>
  <c r="H11" i="47"/>
  <c r="H17" i="47" s="1"/>
  <c r="H22" i="47" s="1"/>
  <c r="Z41" i="130"/>
  <c r="Z67" i="130"/>
  <c r="AA40" i="130"/>
  <c r="Y138" i="130"/>
  <c r="Y77" i="130"/>
  <c r="W25" i="104"/>
  <c r="W26" i="104" s="1"/>
  <c r="L11" i="47"/>
  <c r="M35" i="45"/>
  <c r="P35" i="45"/>
  <c r="O35" i="45"/>
  <c r="Q35" i="45"/>
  <c r="N35" i="45"/>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F14" i="11"/>
  <c r="O42" i="11"/>
  <c r="O41" i="11"/>
  <c r="B10" i="44"/>
  <c r="C10" i="44"/>
  <c r="Y24" i="104" l="1"/>
  <c r="AA41" i="130"/>
  <c r="AB40" i="130"/>
  <c r="AA67" i="130"/>
  <c r="Z77" i="130"/>
  <c r="Z138" i="130"/>
  <c r="L17" i="47"/>
  <c r="L22" i="47" s="1"/>
  <c r="J10" i="44"/>
  <c r="Z24" i="104" l="1"/>
  <c r="AB41" i="130"/>
  <c r="AC40" i="130"/>
  <c r="AB67" i="130"/>
  <c r="AA77" i="130"/>
  <c r="AA138" i="130"/>
  <c r="D4" i="48"/>
  <c r="K47" i="49"/>
  <c r="J47" i="49"/>
  <c r="I47" i="49"/>
  <c r="H47" i="49"/>
  <c r="G47" i="49"/>
  <c r="AA24" i="104" l="1"/>
  <c r="AC67" i="130"/>
  <c r="AC41" i="130"/>
  <c r="AD40" i="130"/>
  <c r="AB138" i="130"/>
  <c r="AB77" i="130"/>
  <c r="E9" i="51"/>
  <c r="AB24" i="104" l="1"/>
  <c r="AD67" i="130"/>
  <c r="AD41" i="130"/>
  <c r="AE40" i="130"/>
  <c r="AC138" i="130"/>
  <c r="AC77" i="130"/>
  <c r="N9" i="45"/>
  <c r="O9" i="45"/>
  <c r="P9" i="45"/>
  <c r="Q9" i="45"/>
  <c r="M9" i="45"/>
  <c r="N9" i="69"/>
  <c r="O9" i="69"/>
  <c r="P9" i="69"/>
  <c r="Q9" i="69"/>
  <c r="L9" i="69"/>
  <c r="N9" i="49"/>
  <c r="O9" i="49"/>
  <c r="P9" i="49"/>
  <c r="Q9" i="49"/>
  <c r="M9" i="49"/>
  <c r="AC24" i="104" l="1"/>
  <c r="AF40" i="130"/>
  <c r="AE67" i="130"/>
  <c r="AE41" i="130"/>
  <c r="AD77" i="130"/>
  <c r="AD138" i="130"/>
  <c r="R31" i="70"/>
  <c r="R32" i="70"/>
  <c r="R26" i="70"/>
  <c r="R23" i="70"/>
  <c r="R22" i="70"/>
  <c r="D22" i="70" s="1"/>
  <c r="R20" i="70"/>
  <c r="R19" i="70"/>
  <c r="R18" i="70"/>
  <c r="D18" i="70" s="1"/>
  <c r="R17" i="70"/>
  <c r="R16" i="70"/>
  <c r="H16" i="70" s="1" a="1"/>
  <c r="H16" i="70" s="1"/>
  <c r="A10" i="40"/>
  <c r="AD24" i="104" l="1"/>
  <c r="H17" i="70" a="1"/>
  <c r="H17" i="70" s="1"/>
  <c r="D17" i="70"/>
  <c r="H20" i="70" a="1"/>
  <c r="H20" i="70" s="1"/>
  <c r="D20" i="70"/>
  <c r="H23" i="70" a="1"/>
  <c r="H23" i="70" s="1"/>
  <c r="D23" i="70"/>
  <c r="H19" i="70" a="1"/>
  <c r="H19" i="70" s="1"/>
  <c r="D19" i="70"/>
  <c r="AE77" i="130"/>
  <c r="AE138" i="130"/>
  <c r="AF67" i="130"/>
  <c r="AF41" i="130"/>
  <c r="AG40" i="130"/>
  <c r="A11" i="40"/>
  <c r="F11" i="40" s="1"/>
  <c r="G31" i="70" a="1"/>
  <c r="G31" i="70" s="1"/>
  <c r="H31" i="70" a="1"/>
  <c r="H31" i="70" s="1"/>
  <c r="J31" i="70" a="1"/>
  <c r="J31" i="70" s="1"/>
  <c r="F31" i="70" a="1"/>
  <c r="F31" i="70" s="1"/>
  <c r="I31" i="70" a="1"/>
  <c r="I31" i="70" s="1"/>
  <c r="H18" i="70" a="1"/>
  <c r="H18" i="70" s="1"/>
  <c r="F18" i="70" a="1"/>
  <c r="F18" i="70" s="1"/>
  <c r="F32" i="70" a="1"/>
  <c r="F32" i="70" s="1"/>
  <c r="G32" i="70" a="1"/>
  <c r="G32" i="70" s="1"/>
  <c r="J32" i="70" a="1"/>
  <c r="J32" i="70" s="1"/>
  <c r="H32" i="70" a="1"/>
  <c r="H32" i="70" s="1"/>
  <c r="I32" i="70" a="1"/>
  <c r="I32" i="70" s="1"/>
  <c r="A10" i="67"/>
  <c r="A10" i="41" a="1"/>
  <c r="A10" i="41" s="1"/>
  <c r="I38" i="72"/>
  <c r="H37" i="72"/>
  <c r="G37" i="72"/>
  <c r="I20" i="48"/>
  <c r="J20" i="48"/>
  <c r="K20" i="48"/>
  <c r="L20" i="48"/>
  <c r="H20" i="48"/>
  <c r="H35" i="45"/>
  <c r="I35" i="45"/>
  <c r="J35" i="45"/>
  <c r="K35" i="45"/>
  <c r="G35" i="45"/>
  <c r="H49" i="69"/>
  <c r="I49" i="69"/>
  <c r="J49" i="69"/>
  <c r="K49" i="69"/>
  <c r="G49" i="69"/>
  <c r="I11" i="68"/>
  <c r="J11" i="68"/>
  <c r="K11" i="68"/>
  <c r="L11" i="68"/>
  <c r="A7" i="43"/>
  <c r="H7" i="43"/>
  <c r="AB19" i="43" s="1"/>
  <c r="H26" i="43"/>
  <c r="AE24" i="104" l="1"/>
  <c r="AG67" i="130"/>
  <c r="AG41" i="130"/>
  <c r="AF138" i="130"/>
  <c r="AF77" i="130"/>
  <c r="I37" i="72"/>
  <c r="H19" i="43"/>
  <c r="A11" i="41" a="1"/>
  <c r="A11" i="41" s="1"/>
  <c r="F11" i="41" s="1"/>
  <c r="A11" i="67"/>
  <c r="F11" i="67" s="1"/>
  <c r="J33" i="70"/>
  <c r="I33" i="70"/>
  <c r="J20" i="68"/>
  <c r="L20" i="68"/>
  <c r="K20" i="68"/>
  <c r="I20" i="68"/>
  <c r="H20" i="68"/>
  <c r="G33" i="70"/>
  <c r="H33" i="70"/>
  <c r="O53" i="1"/>
  <c r="F33" i="70"/>
  <c r="H20" i="47"/>
  <c r="J20" i="47"/>
  <c r="K20" i="47"/>
  <c r="L20" i="47"/>
  <c r="I20" i="47"/>
  <c r="D44" i="73"/>
  <c r="D77" i="73" s="1"/>
  <c r="K1" i="43"/>
  <c r="AF24" i="104" l="1"/>
  <c r="AG138" i="130"/>
  <c r="AG77" i="130"/>
  <c r="P53" i="1"/>
  <c r="H53" i="1" s="1"/>
  <c r="D53" i="1"/>
  <c r="L1" i="43"/>
  <c r="L26" i="43" s="1"/>
  <c r="K26" i="43"/>
  <c r="AG24" i="104" l="1"/>
  <c r="I30" i="130"/>
  <c r="I31" i="130"/>
  <c r="M1" i="43"/>
  <c r="AH24" i="104" l="1"/>
  <c r="N1" i="43"/>
  <c r="M26" i="43"/>
  <c r="A13" i="73"/>
  <c r="F12" i="73"/>
  <c r="AI24" i="104" l="1"/>
  <c r="O1" i="43"/>
  <c r="N26" i="43"/>
  <c r="F13" i="73"/>
  <c r="A14" i="73"/>
  <c r="AJ24" i="104" l="1"/>
  <c r="A10" i="43"/>
  <c r="A10" i="42"/>
  <c r="O26" i="43"/>
  <c r="R1" i="43"/>
  <c r="F14" i="73"/>
  <c r="AK24" i="104" l="1"/>
  <c r="A11" i="43"/>
  <c r="A12" i="43" s="1"/>
  <c r="A13" i="43" s="1"/>
  <c r="A15" i="73"/>
  <c r="F10" i="43"/>
  <c r="A10" i="65"/>
  <c r="F10" i="42"/>
  <c r="A11" i="42"/>
  <c r="S1" i="43"/>
  <c r="S26" i="43" s="1"/>
  <c r="R26" i="43"/>
  <c r="D46" i="73"/>
  <c r="AL24" i="104" l="1"/>
  <c r="A11" i="65"/>
  <c r="A12" i="65" s="1"/>
  <c r="A13" i="65" s="1"/>
  <c r="A14" i="65" s="1"/>
  <c r="A15" i="65" s="1"/>
  <c r="A16" i="65" s="1"/>
  <c r="F16" i="65" s="1"/>
  <c r="A18" i="73"/>
  <c r="F18" i="73" s="1"/>
  <c r="F15" i="73"/>
  <c r="E46" i="73"/>
  <c r="D47" i="73"/>
  <c r="F11" i="43"/>
  <c r="F11" i="42"/>
  <c r="A12" i="42"/>
  <c r="F12" i="42" s="1"/>
  <c r="T1" i="43"/>
  <c r="T26" i="43" s="1"/>
  <c r="AM24" i="104" l="1"/>
  <c r="M41" i="73"/>
  <c r="P41" i="73"/>
  <c r="I41" i="73"/>
  <c r="S41" i="73"/>
  <c r="R41" i="73"/>
  <c r="J41" i="73"/>
  <c r="A19" i="73"/>
  <c r="F19" i="73" s="1"/>
  <c r="E47" i="73"/>
  <c r="D48" i="73"/>
  <c r="F12" i="43"/>
  <c r="A13" i="42"/>
  <c r="F13" i="42" s="1"/>
  <c r="U1" i="43"/>
  <c r="V1" i="43" s="1"/>
  <c r="V26" i="43" s="1"/>
  <c r="D68" i="43" s="1"/>
  <c r="AN24" i="104" l="1"/>
  <c r="A19" i="65"/>
  <c r="A20" i="73"/>
  <c r="F20" i="73" s="1"/>
  <c r="AP41" i="73" s="1"/>
  <c r="AF41" i="73"/>
  <c r="Z41" i="73"/>
  <c r="AC41" i="73"/>
  <c r="W41" i="73"/>
  <c r="V41" i="73"/>
  <c r="AE41" i="73"/>
  <c r="A22" i="73"/>
  <c r="F22" i="73" s="1"/>
  <c r="D49" i="73"/>
  <c r="E49" i="73" s="1"/>
  <c r="E48" i="73"/>
  <c r="F13" i="43"/>
  <c r="A16" i="43"/>
  <c r="A14" i="42"/>
  <c r="F14" i="42" s="1"/>
  <c r="U26" i="43"/>
  <c r="AO24" i="104" l="1"/>
  <c r="AR41" i="73"/>
  <c r="AJ41" i="73"/>
  <c r="AI41" i="73"/>
  <c r="AM41" i="73"/>
  <c r="AS41" i="73"/>
  <c r="A20" i="65"/>
  <c r="F19" i="65"/>
  <c r="A23" i="73"/>
  <c r="A24" i="73" s="1"/>
  <c r="D50" i="73"/>
  <c r="D51" i="73" s="1"/>
  <c r="F16" i="43"/>
  <c r="A17" i="43"/>
  <c r="A15" i="42"/>
  <c r="AP24" i="104" l="1"/>
  <c r="F20" i="65"/>
  <c r="A21" i="65"/>
  <c r="E50" i="73"/>
  <c r="F23" i="73"/>
  <c r="F24" i="73"/>
  <c r="E51" i="73"/>
  <c r="F17" i="43"/>
  <c r="A18" i="43"/>
  <c r="F15" i="42"/>
  <c r="A16" i="42"/>
  <c r="D52" i="73"/>
  <c r="AQ24" i="104" l="1"/>
  <c r="F21" i="65"/>
  <c r="D79" i="73"/>
  <c r="D81" i="73"/>
  <c r="F18" i="43"/>
  <c r="A19" i="43"/>
  <c r="E52" i="73"/>
  <c r="F16" i="42"/>
  <c r="D53" i="73"/>
  <c r="AR24" i="104" l="1"/>
  <c r="F19" i="43"/>
  <c r="G20" i="43" s="1"/>
  <c r="A20" i="43"/>
  <c r="E53" i="73"/>
  <c r="D54" i="73"/>
  <c r="AS24" i="104" l="1"/>
  <c r="F20" i="43"/>
  <c r="D67" i="43" s="1"/>
  <c r="A21" i="43"/>
  <c r="F21" i="43" s="1"/>
  <c r="E54" i="73"/>
  <c r="D55" i="73"/>
  <c r="AT24" i="104" l="1"/>
  <c r="E55" i="73"/>
  <c r="D56" i="73"/>
  <c r="AU24" i="104" l="1"/>
  <c r="E56" i="73"/>
  <c r="D57" i="73"/>
  <c r="AV24" i="104" l="1"/>
  <c r="E57" i="73"/>
  <c r="D58" i="73"/>
  <c r="AW24" i="104" l="1"/>
  <c r="E58" i="73"/>
  <c r="D59" i="73"/>
  <c r="AX24" i="104" l="1"/>
  <c r="E59" i="73"/>
  <c r="D60" i="73"/>
  <c r="AY24" i="104" l="1"/>
  <c r="E60" i="73"/>
  <c r="D61" i="73"/>
  <c r="AZ24" i="104" l="1"/>
  <c r="E61" i="73"/>
  <c r="D62" i="73"/>
  <c r="BA24" i="104" l="1"/>
  <c r="E62" i="73"/>
  <c r="D63" i="73"/>
  <c r="BB24" i="104" l="1"/>
  <c r="E63" i="73"/>
  <c r="D64" i="73"/>
  <c r="BC24" i="104" l="1"/>
  <c r="E64" i="73"/>
  <c r="D65" i="73"/>
  <c r="BD24" i="104" l="1"/>
  <c r="E65" i="73"/>
  <c r="D66" i="73"/>
  <c r="BE24" i="104" l="1"/>
  <c r="E66" i="73"/>
  <c r="D67" i="73"/>
  <c r="BF24" i="104" l="1"/>
  <c r="E67" i="73"/>
  <c r="D68" i="73"/>
  <c r="BG24" i="104" l="1"/>
  <c r="E68" i="73"/>
  <c r="D69" i="73"/>
  <c r="BH24" i="104" l="1"/>
  <c r="E69" i="73"/>
  <c r="D70" i="73"/>
  <c r="BI24" i="104" l="1"/>
  <c r="D71" i="73"/>
  <c r="D72" i="73" s="1"/>
  <c r="E70" i="73"/>
  <c r="K24" i="72"/>
  <c r="M21" i="72"/>
  <c r="M20" i="72"/>
  <c r="L19" i="72"/>
  <c r="K19" i="72"/>
  <c r="I33" i="72"/>
  <c r="I34" i="72"/>
  <c r="I32" i="72"/>
  <c r="H31" i="72"/>
  <c r="G31" i="72"/>
  <c r="I25" i="72"/>
  <c r="I26" i="72"/>
  <c r="I28" i="72"/>
  <c r="H27" i="72"/>
  <c r="G27" i="72"/>
  <c r="H24" i="72"/>
  <c r="G24" i="72"/>
  <c r="H19" i="72"/>
  <c r="G19" i="72"/>
  <c r="H14" i="72"/>
  <c r="G14" i="72"/>
  <c r="BJ24" i="104" l="1"/>
  <c r="E71" i="73"/>
  <c r="I27" i="72"/>
  <c r="I14" i="72"/>
  <c r="I31" i="72"/>
  <c r="I19" i="72"/>
  <c r="M19" i="72"/>
  <c r="M24" i="72"/>
  <c r="E72" i="73"/>
  <c r="I24" i="72"/>
  <c r="BK24" i="104" l="1"/>
  <c r="G1" i="72"/>
  <c r="A15" i="72"/>
  <c r="BL24" i="104" l="1"/>
  <c r="A16" i="72"/>
  <c r="F16" i="72" s="1"/>
  <c r="H1" i="72"/>
  <c r="G9" i="72"/>
  <c r="F15" i="72"/>
  <c r="BM24" i="104" l="1"/>
  <c r="I1" i="72"/>
  <c r="H9" i="72"/>
  <c r="F14" i="72"/>
  <c r="BN24" i="104" l="1"/>
  <c r="D46" i="72"/>
  <c r="I9" i="72"/>
  <c r="K1" i="72"/>
  <c r="A19" i="72"/>
  <c r="BO24" i="104" l="1"/>
  <c r="K12" i="73"/>
  <c r="N12" i="73"/>
  <c r="J12" i="73"/>
  <c r="I12" i="73"/>
  <c r="L12" i="73"/>
  <c r="D44" i="72"/>
  <c r="M12" i="73"/>
  <c r="L1" i="72"/>
  <c r="K9" i="72"/>
  <c r="A20" i="72"/>
  <c r="F19" i="72"/>
  <c r="BP24" i="104" l="1"/>
  <c r="AI44" i="73"/>
  <c r="F18" i="78" s="1"/>
  <c r="V44" i="73"/>
  <c r="I44" i="73"/>
  <c r="AJ44" i="73"/>
  <c r="W44" i="73"/>
  <c r="J44" i="73"/>
  <c r="AR44" i="73"/>
  <c r="I18" i="78" s="1"/>
  <c r="AE44" i="73"/>
  <c r="R44" i="73"/>
  <c r="AS44" i="73"/>
  <c r="J18" i="78" s="1"/>
  <c r="AF44" i="73"/>
  <c r="S44" i="73"/>
  <c r="AP44" i="73"/>
  <c r="AC44" i="73"/>
  <c r="P44" i="73"/>
  <c r="Z44" i="73"/>
  <c r="AM44" i="73"/>
  <c r="M44" i="73"/>
  <c r="M1" i="72"/>
  <c r="L9" i="72"/>
  <c r="A21" i="72"/>
  <c r="F20" i="72"/>
  <c r="BQ24" i="104" l="1"/>
  <c r="F19" i="78"/>
  <c r="F20" i="78"/>
  <c r="O19" i="80"/>
  <c r="N19" i="80"/>
  <c r="K19" i="80"/>
  <c r="F19" i="80"/>
  <c r="J19" i="80"/>
  <c r="I19" i="80"/>
  <c r="M9" i="72"/>
  <c r="N1" i="72"/>
  <c r="A24" i="72"/>
  <c r="A25" i="72" s="1"/>
  <c r="F25" i="72" s="1"/>
  <c r="F21" i="72"/>
  <c r="D49" i="72" s="1"/>
  <c r="BR24" i="104" l="1"/>
  <c r="D51" i="72"/>
  <c r="I19" i="78"/>
  <c r="I20" i="78"/>
  <c r="J19" i="78"/>
  <c r="J20" i="78"/>
  <c r="D45" i="72"/>
  <c r="J13" i="73"/>
  <c r="I13" i="73"/>
  <c r="L13" i="73"/>
  <c r="M13" i="73"/>
  <c r="N9" i="72"/>
  <c r="D52" i="72" s="1"/>
  <c r="O1" i="72"/>
  <c r="O9" i="72" s="1"/>
  <c r="D48" i="72" s="1"/>
  <c r="A26" i="72"/>
  <c r="F26" i="72" s="1"/>
  <c r="F24" i="72"/>
  <c r="BS24" i="104" l="1"/>
  <c r="D58" i="72"/>
  <c r="D60" i="72"/>
  <c r="D57" i="72"/>
  <c r="D54" i="72"/>
  <c r="D56" i="72"/>
  <c r="D53" i="72"/>
  <c r="J14" i="73"/>
  <c r="AK44" i="73" s="1"/>
  <c r="N13" i="73"/>
  <c r="N15" i="73"/>
  <c r="L15" i="73"/>
  <c r="L14" i="73"/>
  <c r="K15" i="73"/>
  <c r="J15" i="73"/>
  <c r="M14" i="73"/>
  <c r="I15" i="73"/>
  <c r="I14" i="73"/>
  <c r="N14" i="73"/>
  <c r="M15" i="73"/>
  <c r="A27" i="72"/>
  <c r="F27" i="72" s="1"/>
  <c r="BT24" i="104" l="1"/>
  <c r="A28" i="72"/>
  <c r="BU24" i="104" l="1"/>
  <c r="F28" i="72"/>
  <c r="D62" i="72" s="1"/>
  <c r="A31" i="72"/>
  <c r="F31" i="72" s="1"/>
  <c r="D67" i="72" s="1"/>
  <c r="BV24" i="104" l="1"/>
  <c r="A32" i="72"/>
  <c r="A33" i="72" s="1"/>
  <c r="BW24" i="104" l="1"/>
  <c r="F32" i="72"/>
  <c r="F33" i="72"/>
  <c r="A34" i="72"/>
  <c r="BX24" i="104" l="1"/>
  <c r="F34" i="72"/>
  <c r="D65" i="72" s="1"/>
  <c r="A37" i="72"/>
  <c r="BY24" i="104" l="1"/>
  <c r="D63" i="72"/>
  <c r="A38" i="72"/>
  <c r="F38" i="72" s="1"/>
  <c r="F37" i="72"/>
  <c r="BZ24" i="104" l="1"/>
  <c r="D71" i="72"/>
  <c r="D69" i="72"/>
  <c r="D43" i="72"/>
  <c r="D70" i="72"/>
  <c r="H17" i="68"/>
  <c r="H22" i="68" s="1"/>
  <c r="L17" i="68"/>
  <c r="L22" i="68" s="1"/>
  <c r="K17" i="68"/>
  <c r="K22" i="68" s="1"/>
  <c r="J17" i="68"/>
  <c r="J22" i="68" s="1"/>
  <c r="I17" i="68"/>
  <c r="I22" i="68" s="1"/>
  <c r="CA24" i="104" l="1"/>
  <c r="J29" i="68"/>
  <c r="K29" i="68"/>
  <c r="I29" i="68"/>
  <c r="L29" i="68"/>
  <c r="L30" i="68" s="1"/>
  <c r="I12" i="7"/>
  <c r="CB24" i="104" l="1"/>
  <c r="I30" i="68"/>
  <c r="K30" i="68"/>
  <c r="J30" i="68"/>
  <c r="I14" i="7"/>
  <c r="I15" i="35"/>
  <c r="I14" i="35"/>
  <c r="H12" i="32"/>
  <c r="H1" i="40"/>
  <c r="H7" i="67"/>
  <c r="CC24" i="104" l="1"/>
  <c r="N46" i="67"/>
  <c r="I21" i="70" s="1" a="1"/>
  <c r="I21" i="70" s="1"/>
  <c r="O46" i="67"/>
  <c r="J21" i="70" s="1" a="1"/>
  <c r="J21" i="70" s="1"/>
  <c r="I11" i="35"/>
  <c r="K1" i="40"/>
  <c r="K25" i="40" s="1"/>
  <c r="H25" i="40"/>
  <c r="AK40" i="32"/>
  <c r="K17" i="48"/>
  <c r="K22" i="48" s="1"/>
  <c r="J17" i="48"/>
  <c r="J22" i="48" s="1"/>
  <c r="I17" i="48"/>
  <c r="I22" i="48" s="1"/>
  <c r="I29" i="48" s="1"/>
  <c r="I30" i="48" s="1"/>
  <c r="H17" i="48"/>
  <c r="H22" i="48" s="1"/>
  <c r="L17" i="48"/>
  <c r="L22" i="48" s="1"/>
  <c r="H1" i="42"/>
  <c r="H7" i="65"/>
  <c r="CD24" i="104" l="1"/>
  <c r="J29" i="48"/>
  <c r="J30" i="48" s="1"/>
  <c r="K29" i="48"/>
  <c r="K30" i="48" s="1"/>
  <c r="L29" i="48"/>
  <c r="L30" i="48" s="1"/>
  <c r="H29" i="48"/>
  <c r="L1" i="40"/>
  <c r="H26" i="42"/>
  <c r="K1" i="42"/>
  <c r="K26" i="42" s="1"/>
  <c r="CE24" i="104" l="1"/>
  <c r="H30" i="48"/>
  <c r="M1" i="40"/>
  <c r="L25" i="40"/>
  <c r="L1" i="42"/>
  <c r="L26" i="42" s="1"/>
  <c r="CF24" i="104" l="1"/>
  <c r="M25" i="40"/>
  <c r="N1" i="40"/>
  <c r="M1" i="42"/>
  <c r="M26" i="42" s="1"/>
  <c r="CG24" i="104" l="1"/>
  <c r="O1" i="40"/>
  <c r="O25" i="40" s="1"/>
  <c r="N25" i="40"/>
  <c r="N1" i="42"/>
  <c r="N26" i="42" s="1"/>
  <c r="R1" i="40"/>
  <c r="R25" i="40" s="1"/>
  <c r="CH24" i="104" l="1"/>
  <c r="O1" i="42"/>
  <c r="S1" i="40"/>
  <c r="CI24" i="104" l="1"/>
  <c r="R1" i="42"/>
  <c r="O26" i="42"/>
  <c r="R26" i="42"/>
  <c r="S1" i="42"/>
  <c r="T1" i="40"/>
  <c r="T25" i="40" s="1"/>
  <c r="S25" i="40"/>
  <c r="CJ24" i="104" l="1"/>
  <c r="T1" i="42"/>
  <c r="S26" i="42"/>
  <c r="U1" i="40"/>
  <c r="V1" i="40" s="1"/>
  <c r="V25" i="40" s="1"/>
  <c r="D61" i="40" s="1"/>
  <c r="CK24" i="104" l="1"/>
  <c r="U1" i="42"/>
  <c r="V1" i="42" s="1"/>
  <c r="V26" i="42" s="1"/>
  <c r="D82" i="42" s="1"/>
  <c r="T26" i="42"/>
  <c r="U25" i="40"/>
  <c r="CL24" i="104" l="1"/>
  <c r="E19" i="56"/>
  <c r="CM24" i="104" l="1"/>
  <c r="I13" i="7"/>
  <c r="CN24" i="104" l="1"/>
  <c r="S49" i="69"/>
  <c r="E13" i="68"/>
  <c r="D7" i="67"/>
  <c r="D10" i="67"/>
  <c r="H10" i="67" s="1"/>
  <c r="H1" i="67"/>
  <c r="D7" i="65"/>
  <c r="H1" i="65"/>
  <c r="CO24" i="104" l="1"/>
  <c r="H25" i="67"/>
  <c r="K1" i="65"/>
  <c r="K26" i="65" s="1"/>
  <c r="H26" i="65"/>
  <c r="D82" i="65" s="1"/>
  <c r="J23" i="70" a="1"/>
  <c r="J23" i="70" s="1"/>
  <c r="G16" i="70" a="1"/>
  <c r="G16" i="70" s="1"/>
  <c r="I16" i="70" a="1"/>
  <c r="I16" i="70" s="1"/>
  <c r="F16" i="70" a="1"/>
  <c r="F16" i="70" s="1"/>
  <c r="J16" i="70" a="1"/>
  <c r="J16" i="70" s="1"/>
  <c r="F17" i="70" a="1"/>
  <c r="F17" i="70" s="1"/>
  <c r="G17" i="70" a="1"/>
  <c r="G17" i="70" s="1"/>
  <c r="I17" i="70" a="1"/>
  <c r="I17" i="70" s="1"/>
  <c r="J17" i="70" a="1"/>
  <c r="J17" i="70" s="1"/>
  <c r="I18" i="70" a="1"/>
  <c r="I18" i="70" s="1"/>
  <c r="J18" i="70" a="1"/>
  <c r="J18" i="70" s="1"/>
  <c r="G18" i="70" a="1"/>
  <c r="G18" i="70" s="1"/>
  <c r="F20" i="70" a="1"/>
  <c r="F20" i="70" s="1"/>
  <c r="I20" i="70" a="1"/>
  <c r="I20" i="70" s="1"/>
  <c r="J20" i="70" a="1"/>
  <c r="J20" i="70" s="1"/>
  <c r="G20" i="70" a="1"/>
  <c r="G20" i="70" s="1"/>
  <c r="G19" i="70" a="1"/>
  <c r="G19" i="70" s="1"/>
  <c r="F19" i="70" a="1"/>
  <c r="F19" i="70" s="1"/>
  <c r="I19" i="70" a="1"/>
  <c r="I19" i="70" s="1"/>
  <c r="J19" i="70" a="1"/>
  <c r="J19" i="70" s="1"/>
  <c r="K1" i="67"/>
  <c r="K25" i="67" s="1"/>
  <c r="F10" i="67"/>
  <c r="CP24" i="104" l="1"/>
  <c r="L1" i="67"/>
  <c r="L1" i="65"/>
  <c r="M1" i="65" s="1"/>
  <c r="N1" i="65" s="1"/>
  <c r="N55" i="67"/>
  <c r="K55" i="67"/>
  <c r="O55" i="67"/>
  <c r="M55" i="67"/>
  <c r="L55" i="67"/>
  <c r="CQ24" i="104" l="1"/>
  <c r="M1" i="67"/>
  <c r="M25" i="67" s="1"/>
  <c r="L25" i="67"/>
  <c r="N1" i="67"/>
  <c r="M26" i="65"/>
  <c r="L26" i="65"/>
  <c r="O1" i="65"/>
  <c r="CR24" i="104" l="1"/>
  <c r="O1" i="67"/>
  <c r="O25" i="67" s="1"/>
  <c r="N25" i="67"/>
  <c r="R1" i="65"/>
  <c r="O26" i="65"/>
  <c r="N26" i="65"/>
  <c r="CS24" i="104" l="1"/>
  <c r="R1" i="67"/>
  <c r="R25" i="67" s="1"/>
  <c r="S1" i="65"/>
  <c r="T1" i="65" s="1"/>
  <c r="U1" i="65" s="1"/>
  <c r="V1" i="65" s="1"/>
  <c r="F7" i="65"/>
  <c r="CT24" i="104" l="1"/>
  <c r="S1" i="67"/>
  <c r="S25" i="67" s="1"/>
  <c r="R26" i="65"/>
  <c r="CU24" i="104" l="1"/>
  <c r="T1" i="67"/>
  <c r="T25" i="67" s="1"/>
  <c r="F7" i="67"/>
  <c r="S26" i="65"/>
  <c r="CV24" i="104" l="1"/>
  <c r="U1" i="67"/>
  <c r="U25" i="67" s="1"/>
  <c r="T26" i="65"/>
  <c r="U26" i="65"/>
  <c r="CW24" i="104" l="1"/>
  <c r="V1" i="67"/>
  <c r="V25" i="67" s="1"/>
  <c r="D62" i="67" s="1"/>
  <c r="V26" i="65"/>
  <c r="D83" i="65" s="1"/>
  <c r="F10" i="65"/>
  <c r="CX24" i="104" l="1"/>
  <c r="A14" i="67"/>
  <c r="F11" i="65"/>
  <c r="CY24" i="104" l="1"/>
  <c r="A15" i="67"/>
  <c r="F15" i="67" s="1"/>
  <c r="A16" i="67"/>
  <c r="F16" i="67" s="1"/>
  <c r="F14" i="67"/>
  <c r="F12" i="65"/>
  <c r="CZ24" i="104" l="1"/>
  <c r="A19" i="67"/>
  <c r="F13" i="65"/>
  <c r="DA24" i="104" l="1"/>
  <c r="F19" i="67"/>
  <c r="H26" i="67" s="1"/>
  <c r="F14" i="65"/>
  <c r="DB24" i="104" l="1"/>
  <c r="F15" i="65"/>
  <c r="DC24" i="104" l="1"/>
  <c r="A34" i="67"/>
  <c r="DD24" i="104" l="1"/>
  <c r="F34" i="67"/>
  <c r="A37" i="67"/>
  <c r="DE24" i="104" l="1"/>
  <c r="A40" i="67"/>
  <c r="F37" i="67"/>
  <c r="G48" i="67" s="1"/>
  <c r="A41" i="67"/>
  <c r="F40" i="67"/>
  <c r="DF24" i="104" l="1"/>
  <c r="G45" i="67"/>
  <c r="A42" i="67"/>
  <c r="F41" i="67"/>
  <c r="DG24" i="104" l="1"/>
  <c r="A43" i="67"/>
  <c r="F42" i="67"/>
  <c r="A35" i="65"/>
  <c r="DH24" i="104" l="1"/>
  <c r="A36" i="65"/>
  <c r="F36" i="65" s="1"/>
  <c r="A44" i="67"/>
  <c r="F43" i="67"/>
  <c r="F35" i="65"/>
  <c r="A41" i="65"/>
  <c r="F41" i="65" s="1"/>
  <c r="DI24" i="104" l="1"/>
  <c r="A45" i="67"/>
  <c r="F44" i="67"/>
  <c r="A42" i="65"/>
  <c r="DJ24" i="104" l="1"/>
  <c r="A46" i="67"/>
  <c r="F46" i="67" s="1"/>
  <c r="F45" i="67"/>
  <c r="A47" i="67"/>
  <c r="A43" i="65"/>
  <c r="F42" i="65"/>
  <c r="DK24" i="104" l="1"/>
  <c r="A48" i="67"/>
  <c r="F48" i="67" s="1"/>
  <c r="G51" i="67" s="1"/>
  <c r="F47" i="67"/>
  <c r="A51" i="67"/>
  <c r="F51" i="67" s="1"/>
  <c r="G52" i="67" s="1"/>
  <c r="F43" i="65"/>
  <c r="A44" i="65"/>
  <c r="DL24" i="104" l="1"/>
  <c r="G44" i="65"/>
  <c r="A52" i="67"/>
  <c r="F52" i="67" s="1"/>
  <c r="F44" i="65"/>
  <c r="G45" i="65" s="1"/>
  <c r="A45" i="65"/>
  <c r="F45" i="65" s="1"/>
  <c r="A55" i="67"/>
  <c r="DM24" i="104" l="1"/>
  <c r="A48" i="65"/>
  <c r="F48" i="65" s="1"/>
  <c r="F55" i="67"/>
  <c r="A56" i="67"/>
  <c r="DN24" i="104" l="1"/>
  <c r="A49" i="65"/>
  <c r="F49" i="65" s="1"/>
  <c r="G53" i="65" s="1"/>
  <c r="F56" i="67"/>
  <c r="A57" i="67"/>
  <c r="DO24" i="104" l="1"/>
  <c r="D84" i="65"/>
  <c r="A50" i="65"/>
  <c r="F57" i="67"/>
  <c r="G55" i="67" s="1"/>
  <c r="DP24" i="104" l="1"/>
  <c r="A51" i="65"/>
  <c r="F50" i="65"/>
  <c r="DQ24" i="104" l="1"/>
  <c r="F51" i="65"/>
  <c r="A52" i="65"/>
  <c r="DR24" i="104" l="1"/>
  <c r="F52" i="65"/>
  <c r="A53" i="65"/>
  <c r="DS24" i="104" l="1"/>
  <c r="A54" i="65"/>
  <c r="F53" i="65"/>
  <c r="G54" i="65" s="1"/>
  <c r="DT24" i="104" l="1"/>
  <c r="F54" i="65"/>
  <c r="G55" i="65" s="1"/>
  <c r="A55" i="65"/>
  <c r="DU24" i="104" l="1"/>
  <c r="A56" i="65"/>
  <c r="F55" i="65"/>
  <c r="G56" i="65" s="1"/>
  <c r="DV24" i="104" l="1"/>
  <c r="F56" i="65"/>
  <c r="G58" i="65" s="1"/>
  <c r="A58" i="65"/>
  <c r="DW24" i="104" l="1"/>
  <c r="F58" i="65"/>
  <c r="A62" i="65"/>
  <c r="A63" i="65" s="1"/>
  <c r="A64" i="65" s="1"/>
  <c r="A65" i="65" s="1"/>
  <c r="A66" i="65" s="1"/>
  <c r="A67" i="65" s="1"/>
  <c r="A68" i="65" s="1"/>
  <c r="DX24" i="104" l="1"/>
  <c r="G64" i="65"/>
  <c r="G62" i="65"/>
  <c r="G63" i="65"/>
  <c r="F62" i="65"/>
  <c r="A69" i="65" l="1"/>
  <c r="DY24" i="104"/>
  <c r="F64" i="65"/>
  <c r="F63" i="65"/>
  <c r="A70" i="65" l="1"/>
  <c r="A71" i="65"/>
  <c r="DZ24" i="104"/>
  <c r="Q63" i="11"/>
  <c r="Q13" i="11"/>
  <c r="P53" i="11"/>
  <c r="P13" i="11"/>
  <c r="O43" i="11"/>
  <c r="O13" i="11"/>
  <c r="N33" i="11"/>
  <c r="N13" i="11"/>
  <c r="M23" i="11"/>
  <c r="L18" i="11"/>
  <c r="F70" i="65" l="1"/>
  <c r="A72" i="65"/>
  <c r="EA24" i="104"/>
  <c r="F71" i="65"/>
  <c r="F69" i="65"/>
  <c r="EB24" i="104" l="1"/>
  <c r="G72" i="65"/>
  <c r="D87" i="65"/>
  <c r="C18" i="44"/>
  <c r="EC24" i="104" l="1"/>
  <c r="E43" i="32"/>
  <c r="E42" i="32"/>
  <c r="E41" i="32"/>
  <c r="E40" i="32"/>
  <c r="E39" i="32"/>
  <c r="E38" i="32"/>
  <c r="D17" i="7"/>
  <c r="O69" i="1" s="1"/>
  <c r="D69" i="1" s="1"/>
  <c r="ED24" i="104" l="1"/>
  <c r="E30" i="7"/>
  <c r="E31" i="7"/>
  <c r="D30" i="7"/>
  <c r="I30" i="7" s="1"/>
  <c r="D31" i="7"/>
  <c r="EE24" i="104" l="1"/>
  <c r="J33" i="11"/>
  <c r="J32" i="11"/>
  <c r="J31" i="11"/>
  <c r="J30" i="11"/>
  <c r="J29" i="11"/>
  <c r="J28" i="11"/>
  <c r="J27" i="11"/>
  <c r="J26" i="11"/>
  <c r="J25" i="11"/>
  <c r="J24" i="11"/>
  <c r="J23" i="11"/>
  <c r="H23" i="11"/>
  <c r="J22" i="11"/>
  <c r="H22" i="11"/>
  <c r="J21" i="11"/>
  <c r="H21" i="11"/>
  <c r="J20" i="11"/>
  <c r="H20" i="11"/>
  <c r="G20" i="11"/>
  <c r="J19" i="11"/>
  <c r="H19" i="11"/>
  <c r="G19" i="11"/>
  <c r="J18" i="11"/>
  <c r="H18" i="11"/>
  <c r="G18" i="11"/>
  <c r="F18" i="11"/>
  <c r="J17" i="11"/>
  <c r="H17" i="11"/>
  <c r="G17" i="11"/>
  <c r="F17" i="11"/>
  <c r="J16" i="11"/>
  <c r="H16" i="11"/>
  <c r="G16" i="11"/>
  <c r="F16" i="11"/>
  <c r="E16" i="11"/>
  <c r="J15" i="11"/>
  <c r="H15" i="11"/>
  <c r="G15" i="11"/>
  <c r="F15" i="11"/>
  <c r="E15" i="11"/>
  <c r="J14" i="11"/>
  <c r="I14" i="11"/>
  <c r="H14" i="11"/>
  <c r="G14" i="11"/>
  <c r="E14" i="11"/>
  <c r="J13" i="11"/>
  <c r="H13" i="11"/>
  <c r="G13" i="11"/>
  <c r="F13" i="11"/>
  <c r="E13" i="11"/>
  <c r="I31" i="7"/>
  <c r="E20" i="42"/>
  <c r="G49" i="7"/>
  <c r="D25" i="7"/>
  <c r="EF24" i="104" l="1"/>
  <c r="D114" i="7"/>
  <c r="A8" i="35"/>
  <c r="EG24" i="104" l="1"/>
  <c r="D16" i="35"/>
  <c r="EH24" i="104" l="1"/>
  <c r="EI24" i="104" l="1"/>
  <c r="P49" i="1"/>
  <c r="H49" i="1" s="1"/>
  <c r="P48" i="1"/>
  <c r="H48" i="1" s="1"/>
  <c r="F1" i="51"/>
  <c r="EJ24" i="104" l="1"/>
  <c r="F9" i="51"/>
  <c r="G1" i="51"/>
  <c r="G9" i="51" s="1"/>
  <c r="D21" i="51" s="1"/>
  <c r="H59" i="1"/>
  <c r="H60" i="1" s="1"/>
  <c r="EK24" i="104" l="1"/>
  <c r="H82" i="1"/>
  <c r="I27" i="130"/>
  <c r="I31" i="47"/>
  <c r="I32" i="47" s="1"/>
  <c r="K31" i="47"/>
  <c r="K32" i="47" s="1"/>
  <c r="L31" i="47"/>
  <c r="L32" i="47" s="1"/>
  <c r="E13" i="47"/>
  <c r="EL24" i="104" l="1"/>
  <c r="I26" i="130"/>
  <c r="J31" i="47"/>
  <c r="J32" i="47" s="1"/>
  <c r="H31" i="47"/>
  <c r="E13" i="48"/>
  <c r="EM24" i="104" l="1"/>
  <c r="H32" i="47"/>
  <c r="AK16" i="32"/>
  <c r="EN24" i="104" l="1"/>
  <c r="D13" i="21"/>
  <c r="F1" i="21"/>
  <c r="F8" i="21" s="1"/>
  <c r="EO24" i="104" l="1"/>
  <c r="X25" i="104"/>
  <c r="X26" i="104" s="1"/>
  <c r="Y25" i="104"/>
  <c r="Y26" i="104" s="1"/>
  <c r="Z25" i="104"/>
  <c r="Z26" i="104" s="1"/>
  <c r="AA25" i="104"/>
  <c r="AA26" i="104" s="1"/>
  <c r="AB25" i="104"/>
  <c r="AB26" i="104" s="1"/>
  <c r="DS25" i="104"/>
  <c r="DS26" i="104" s="1"/>
  <c r="AC25" i="104"/>
  <c r="AC26" i="104" s="1"/>
  <c r="AD25" i="104"/>
  <c r="AD26" i="104" s="1"/>
  <c r="AE25" i="104"/>
  <c r="AE26" i="104" s="1"/>
  <c r="AF25" i="104"/>
  <c r="AF26" i="104" s="1"/>
  <c r="AG25" i="104"/>
  <c r="AG26" i="104" s="1"/>
  <c r="AH25" i="104"/>
  <c r="AH26" i="104" s="1"/>
  <c r="AI25" i="104"/>
  <c r="AI26" i="104" s="1"/>
  <c r="AM25" i="104"/>
  <c r="AM26" i="104" s="1"/>
  <c r="AN25" i="104"/>
  <c r="AN26" i="104" s="1"/>
  <c r="D14" i="21"/>
  <c r="D15" i="21" s="1"/>
  <c r="D16" i="21" s="1"/>
  <c r="D17" i="21" s="1"/>
  <c r="D18" i="21" s="1"/>
  <c r="D19" i="21" s="1"/>
  <c r="D20" i="21" s="1"/>
  <c r="D21" i="21" s="1"/>
  <c r="D22" i="21" s="1"/>
  <c r="D23" i="21" s="1"/>
  <c r="D24" i="21" s="1"/>
  <c r="D25" i="21" s="1"/>
  <c r="D26" i="21" s="1"/>
  <c r="D27" i="21" s="1"/>
  <c r="D28" i="21" s="1"/>
  <c r="D29" i="21" s="1"/>
  <c r="D30" i="21" s="1"/>
  <c r="E8" i="21"/>
  <c r="D46" i="21" s="1"/>
  <c r="D8" i="7"/>
  <c r="BM25" i="104" l="1"/>
  <c r="BM26" i="104" s="1"/>
  <c r="EP24" i="104"/>
  <c r="DR25" i="104"/>
  <c r="DR26" i="104" s="1"/>
  <c r="CV25" i="104"/>
  <c r="CV26" i="104" s="1"/>
  <c r="CU25" i="104"/>
  <c r="CU26" i="104" s="1"/>
  <c r="DM25" i="104"/>
  <c r="DM26" i="104" s="1"/>
  <c r="CT25" i="104"/>
  <c r="CT26" i="104" s="1"/>
  <c r="CS25" i="104"/>
  <c r="CS26" i="104" s="1"/>
  <c r="EN25" i="104"/>
  <c r="EN26" i="104" s="1"/>
  <c r="AL25" i="104"/>
  <c r="AL26" i="104" s="1"/>
  <c r="DN25" i="104"/>
  <c r="DN26" i="104" s="1"/>
  <c r="CZ25" i="104"/>
  <c r="CZ26" i="104" s="1"/>
  <c r="CW25" i="104"/>
  <c r="CW26" i="104" s="1"/>
  <c r="EI25" i="104"/>
  <c r="EI26" i="104" s="1"/>
  <c r="DP25" i="104"/>
  <c r="DP26" i="104" s="1"/>
  <c r="CY25" i="104"/>
  <c r="CY26" i="104" s="1"/>
  <c r="EM25" i="104"/>
  <c r="EM26" i="104" s="1"/>
  <c r="CE25" i="104"/>
  <c r="CE26" i="104" s="1"/>
  <c r="DQ25" i="104"/>
  <c r="DQ26" i="104" s="1"/>
  <c r="DO25" i="104"/>
  <c r="DO26" i="104" s="1"/>
  <c r="CX25" i="104"/>
  <c r="CX26" i="104" s="1"/>
  <c r="EK25" i="104"/>
  <c r="EK26" i="104" s="1"/>
  <c r="EG25" i="104"/>
  <c r="EG26" i="104" s="1"/>
  <c r="EL25" i="104"/>
  <c r="EL26" i="104" s="1"/>
  <c r="EJ25" i="104"/>
  <c r="EJ26" i="104" s="1"/>
  <c r="CF25" i="104"/>
  <c r="CF26" i="104" s="1"/>
  <c r="EH25" i="104"/>
  <c r="EH26" i="104" s="1"/>
  <c r="CD25" i="104"/>
  <c r="CD26" i="104" s="1"/>
  <c r="BN25" i="104"/>
  <c r="BN26" i="104" s="1"/>
  <c r="DT25" i="104"/>
  <c r="DT26" i="104" s="1"/>
  <c r="CO25" i="104"/>
  <c r="CO26" i="104" s="1"/>
  <c r="CN25" i="104"/>
  <c r="CN26" i="104" s="1"/>
  <c r="EF25" i="104"/>
  <c r="EF26" i="104" s="1"/>
  <c r="AK25" i="104"/>
  <c r="AK26" i="104" s="1"/>
  <c r="ED25" i="104"/>
  <c r="ED26" i="104" s="1"/>
  <c r="DI25" i="104"/>
  <c r="DI26" i="104" s="1"/>
  <c r="CM25" i="104"/>
  <c r="CM26" i="104" s="1"/>
  <c r="DH25" i="104"/>
  <c r="DH26" i="104" s="1"/>
  <c r="DF25" i="104"/>
  <c r="DF26" i="104" s="1"/>
  <c r="CL25" i="104"/>
  <c r="CL26" i="104" s="1"/>
  <c r="DL25" i="104"/>
  <c r="DL26" i="104" s="1"/>
  <c r="DK25" i="104"/>
  <c r="DK26" i="104" s="1"/>
  <c r="AJ25" i="104"/>
  <c r="AJ26" i="104" s="1"/>
  <c r="EC25" i="104"/>
  <c r="EC26" i="104" s="1"/>
  <c r="EA25" i="104"/>
  <c r="EA26" i="104" s="1"/>
  <c r="CQ25" i="104"/>
  <c r="CQ26" i="104" s="1"/>
  <c r="DE25" i="104"/>
  <c r="DE26" i="104" s="1"/>
  <c r="EE25" i="104"/>
  <c r="EE26" i="104" s="1"/>
  <c r="DX25" i="104"/>
  <c r="DX26" i="104" s="1"/>
  <c r="DJ25" i="104"/>
  <c r="DJ26" i="104" s="1"/>
  <c r="DD25" i="104"/>
  <c r="DD26" i="104" s="1"/>
  <c r="CR25" i="104"/>
  <c r="CR26" i="104" s="1"/>
  <c r="CP25" i="104"/>
  <c r="CP26" i="104" s="1"/>
  <c r="EB25" i="104"/>
  <c r="EB26" i="104" s="1"/>
  <c r="DG25" i="104"/>
  <c r="DG26" i="104" s="1"/>
  <c r="DZ25" i="104"/>
  <c r="DZ26" i="104" s="1"/>
  <c r="DY25" i="104"/>
  <c r="DY26" i="104" s="1"/>
  <c r="DW25" i="104"/>
  <c r="DW26" i="104" s="1"/>
  <c r="DC25" i="104"/>
  <c r="DC26" i="104" s="1"/>
  <c r="DV25" i="104"/>
  <c r="DV26" i="104" s="1"/>
  <c r="DB25" i="104"/>
  <c r="DB26" i="104" s="1"/>
  <c r="EO25" i="104"/>
  <c r="EO26" i="104" s="1"/>
  <c r="DU25" i="104"/>
  <c r="DU26" i="104" s="1"/>
  <c r="DA25" i="104"/>
  <c r="DA26" i="104" s="1"/>
  <c r="BI25" i="104"/>
  <c r="BI26" i="104" s="1"/>
  <c r="AT25" i="104"/>
  <c r="AT26" i="104" s="1"/>
  <c r="AS25" i="104"/>
  <c r="AS26" i="104" s="1"/>
  <c r="CH25" i="104"/>
  <c r="CH26" i="104" s="1"/>
  <c r="CG25" i="104"/>
  <c r="CG26" i="104" s="1"/>
  <c r="AR25" i="104"/>
  <c r="AR26" i="104" s="1"/>
  <c r="BK25" i="104"/>
  <c r="BK26" i="104" s="1"/>
  <c r="AQ25" i="104"/>
  <c r="AQ26" i="104" s="1"/>
  <c r="BL25" i="104"/>
  <c r="BL26" i="104" s="1"/>
  <c r="CC25" i="104"/>
  <c r="CC26" i="104" s="1"/>
  <c r="BG25" i="104"/>
  <c r="BG26" i="104" s="1"/>
  <c r="AP25" i="104"/>
  <c r="AP26" i="104" s="1"/>
  <c r="CB25" i="104"/>
  <c r="CB26" i="104" s="1"/>
  <c r="CA25" i="104"/>
  <c r="CA26" i="104" s="1"/>
  <c r="BE25" i="104"/>
  <c r="BE26" i="104" s="1"/>
  <c r="BX25" i="104"/>
  <c r="BX26" i="104" s="1"/>
  <c r="BD25" i="104"/>
  <c r="BD26" i="104" s="1"/>
  <c r="BY25" i="104"/>
  <c r="BY26" i="104" s="1"/>
  <c r="BW25" i="104"/>
  <c r="BW26" i="104" s="1"/>
  <c r="BC25" i="104"/>
  <c r="BC26" i="104" s="1"/>
  <c r="BF25" i="104"/>
  <c r="BF26" i="104" s="1"/>
  <c r="BU25" i="104"/>
  <c r="BU26" i="104" s="1"/>
  <c r="BA25" i="104"/>
  <c r="BA26" i="104" s="1"/>
  <c r="AO25" i="104"/>
  <c r="AO26" i="104" s="1"/>
  <c r="BZ25" i="104"/>
  <c r="BZ26" i="104" s="1"/>
  <c r="BT25" i="104"/>
  <c r="BT26" i="104" s="1"/>
  <c r="AZ25" i="104"/>
  <c r="AZ26" i="104" s="1"/>
  <c r="BH25" i="104"/>
  <c r="BH26" i="104" s="1"/>
  <c r="BB25" i="104"/>
  <c r="BB26" i="104" s="1"/>
  <c r="AY25" i="104"/>
  <c r="AY26" i="104" s="1"/>
  <c r="BJ25" i="104"/>
  <c r="BJ26" i="104" s="1"/>
  <c r="AX25" i="104"/>
  <c r="AX26" i="104" s="1"/>
  <c r="BV25" i="104"/>
  <c r="BV26" i="104" s="1"/>
  <c r="BR25" i="104"/>
  <c r="BR26" i="104" s="1"/>
  <c r="CK25" i="104"/>
  <c r="CK26" i="104" s="1"/>
  <c r="BQ25" i="104"/>
  <c r="BQ26" i="104" s="1"/>
  <c r="AW25" i="104"/>
  <c r="AW26" i="104" s="1"/>
  <c r="BS25" i="104"/>
  <c r="BS26" i="104" s="1"/>
  <c r="CJ25" i="104"/>
  <c r="CJ26" i="104" s="1"/>
  <c r="BP25" i="104"/>
  <c r="BP26" i="104" s="1"/>
  <c r="AV25" i="104"/>
  <c r="AV26" i="104" s="1"/>
  <c r="CI25" i="104"/>
  <c r="CI26" i="104" s="1"/>
  <c r="BO25" i="104"/>
  <c r="BO26" i="104" s="1"/>
  <c r="AU25" i="104"/>
  <c r="AU26" i="104" s="1"/>
  <c r="D48" i="21"/>
  <c r="D31" i="21"/>
  <c r="G47" i="79"/>
  <c r="K66" i="42" s="1"/>
  <c r="G37" i="49" s="1" a="1"/>
  <c r="G37" i="49" s="1"/>
  <c r="G43" i="81"/>
  <c r="H46" i="79" s="1"/>
  <c r="P46" i="79"/>
  <c r="O66" i="65" s="1"/>
  <c r="J43" i="81"/>
  <c r="K46" i="79" s="1"/>
  <c r="O65" i="42" s="1"/>
  <c r="H43" i="81"/>
  <c r="I46" i="79" s="1"/>
  <c r="I43" i="81"/>
  <c r="J46" i="79" s="1"/>
  <c r="F43" i="81"/>
  <c r="G46" i="79" s="1"/>
  <c r="K65" i="42" s="1"/>
  <c r="G36" i="49" s="1" a="1"/>
  <c r="G36" i="49" s="1"/>
  <c r="O46" i="79"/>
  <c r="L46" i="79"/>
  <c r="M46" i="79"/>
  <c r="J47" i="79"/>
  <c r="N46" i="79"/>
  <c r="I23" i="70" a="1"/>
  <c r="I23" i="70" s="1"/>
  <c r="G23" i="70" a="1"/>
  <c r="G23" i="70" s="1"/>
  <c r="F23" i="70" a="1"/>
  <c r="F23" i="70" s="1"/>
  <c r="A8" i="7"/>
  <c r="EQ24" i="104" l="1"/>
  <c r="EP25" i="104"/>
  <c r="EP26" i="104" s="1"/>
  <c r="N65" i="42"/>
  <c r="J36" i="49" s="1" a="1"/>
  <c r="J36" i="49" s="1"/>
  <c r="M65" i="42"/>
  <c r="I36" i="49" s="1" a="1"/>
  <c r="I36" i="49" s="1"/>
  <c r="L65" i="42"/>
  <c r="H36" i="49" s="1" a="1"/>
  <c r="H36" i="49" s="1"/>
  <c r="N66" i="42"/>
  <c r="J37" i="49" s="1" a="1"/>
  <c r="J37" i="49" s="1"/>
  <c r="D32" i="21"/>
  <c r="N66" i="65"/>
  <c r="M66" i="65"/>
  <c r="L66" i="65"/>
  <c r="K66" i="65"/>
  <c r="L47" i="79"/>
  <c r="H47" i="79"/>
  <c r="N47" i="79"/>
  <c r="K47" i="79"/>
  <c r="K36" i="49" a="1"/>
  <c r="K36" i="49" s="1"/>
  <c r="K39" i="69" a="1"/>
  <c r="K39" i="69" s="1"/>
  <c r="I47" i="79"/>
  <c r="M47" i="79"/>
  <c r="O47" i="79"/>
  <c r="G43" i="79"/>
  <c r="G50" i="79" s="1"/>
  <c r="G51" i="79" s="1"/>
  <c r="G52" i="79" s="1"/>
  <c r="J43" i="79"/>
  <c r="J50" i="79" s="1"/>
  <c r="F8" i="7"/>
  <c r="ER24" i="104" l="1"/>
  <c r="EQ25" i="104"/>
  <c r="EQ26" i="104" s="1"/>
  <c r="M66" i="42"/>
  <c r="I37" i="49" s="1" a="1"/>
  <c r="I37" i="49" s="1"/>
  <c r="O66" i="42"/>
  <c r="K37" i="49" s="1" a="1"/>
  <c r="K37" i="49" s="1"/>
  <c r="L66" i="42"/>
  <c r="H37" i="49" s="1" a="1"/>
  <c r="H37" i="49" s="1"/>
  <c r="J51" i="79"/>
  <c r="J52" i="79" s="1"/>
  <c r="A19" i="56"/>
  <c r="F19" i="56" s="1"/>
  <c r="D28" i="56" s="1"/>
  <c r="G39" i="69" a="1"/>
  <c r="G39" i="69" s="1"/>
  <c r="I39" i="69" a="1"/>
  <c r="I39" i="69" s="1"/>
  <c r="J39" i="69" a="1"/>
  <c r="J39" i="69" s="1"/>
  <c r="H39" i="69" a="1"/>
  <c r="H39" i="69" s="1"/>
  <c r="D33" i="21"/>
  <c r="P47" i="79"/>
  <c r="P43" i="79" s="1"/>
  <c r="N67" i="65"/>
  <c r="M67" i="65"/>
  <c r="L67" i="65"/>
  <c r="K67" i="65"/>
  <c r="L43" i="79"/>
  <c r="H43" i="79"/>
  <c r="H50" i="79" s="1"/>
  <c r="N43" i="79"/>
  <c r="K43" i="79"/>
  <c r="K50" i="79" s="1"/>
  <c r="M43" i="79"/>
  <c r="G55" i="79"/>
  <c r="F18" i="80" s="1"/>
  <c r="G56" i="79"/>
  <c r="O43" i="79"/>
  <c r="I43" i="79"/>
  <c r="I50" i="79" s="1"/>
  <c r="ES24" i="104" l="1"/>
  <c r="ER25" i="104"/>
  <c r="ER26" i="104" s="1"/>
  <c r="O67" i="65"/>
  <c r="L26" i="46"/>
  <c r="L32" i="46" s="1"/>
  <c r="J55" i="79"/>
  <c r="I18" i="80" s="1"/>
  <c r="J56" i="79"/>
  <c r="H51" i="79"/>
  <c r="H52" i="79" s="1"/>
  <c r="I51" i="79"/>
  <c r="I52" i="79" s="1"/>
  <c r="K51" i="79"/>
  <c r="K52" i="79" s="1"/>
  <c r="A20" i="56"/>
  <c r="F20" i="56" s="1"/>
  <c r="D29" i="56" s="1"/>
  <c r="D34" i="21"/>
  <c r="H40" i="69" a="1"/>
  <c r="H40" i="69" s="1"/>
  <c r="K40" i="69" a="1"/>
  <c r="K40" i="69" s="1"/>
  <c r="G40" i="69" a="1"/>
  <c r="G40" i="69" s="1"/>
  <c r="I40" i="69" a="1"/>
  <c r="I40" i="69" s="1"/>
  <c r="J40" i="69" a="1"/>
  <c r="J40" i="69" s="1"/>
  <c r="L50" i="79"/>
  <c r="M50" i="79"/>
  <c r="O50" i="79"/>
  <c r="N50" i="79"/>
  <c r="P50" i="79"/>
  <c r="ET24" i="104" l="1"/>
  <c r="ES25" i="104"/>
  <c r="ES26" i="104" s="1"/>
  <c r="K55" i="79"/>
  <c r="J18" i="80" s="1"/>
  <c r="K56" i="79"/>
  <c r="I55" i="79"/>
  <c r="H18" i="80" s="1"/>
  <c r="I56" i="79"/>
  <c r="H55" i="79"/>
  <c r="G18" i="80" s="1"/>
  <c r="H56" i="79"/>
  <c r="O51" i="79"/>
  <c r="O52" i="79" s="1"/>
  <c r="M51" i="79"/>
  <c r="M52" i="79" s="1"/>
  <c r="M55" i="79" s="1"/>
  <c r="L18" i="80" s="1"/>
  <c r="N51" i="79"/>
  <c r="N52" i="79" s="1"/>
  <c r="L51" i="79"/>
  <c r="L52" i="79" s="1"/>
  <c r="P51" i="79"/>
  <c r="P52" i="79" s="1"/>
  <c r="A21" i="56"/>
  <c r="D35" i="21"/>
  <c r="EU24" i="104" l="1"/>
  <c r="ET25" i="104"/>
  <c r="ET26" i="104" s="1"/>
  <c r="L56" i="79"/>
  <c r="L55" i="79"/>
  <c r="K18" i="80" s="1"/>
  <c r="P55" i="79"/>
  <c r="O18" i="80" s="1"/>
  <c r="P56" i="79"/>
  <c r="N55" i="79"/>
  <c r="M18" i="80" s="1"/>
  <c r="N56" i="79"/>
  <c r="O56" i="79"/>
  <c r="O55" i="79"/>
  <c r="N18" i="80" s="1"/>
  <c r="M56" i="79"/>
  <c r="F21" i="56"/>
  <c r="A22" i="56"/>
  <c r="F22" i="56" s="1"/>
  <c r="D36" i="21"/>
  <c r="A11" i="7"/>
  <c r="EV24" i="104" l="1"/>
  <c r="EU25" i="104"/>
  <c r="EU26" i="104" s="1"/>
  <c r="D30" i="56"/>
  <c r="G22" i="56"/>
  <c r="A12" i="7"/>
  <c r="D37" i="21"/>
  <c r="D38" i="21" s="1"/>
  <c r="D39" i="21" s="1"/>
  <c r="D40" i="21" s="1"/>
  <c r="A13" i="7"/>
  <c r="A14" i="7" s="1"/>
  <c r="F12" i="7"/>
  <c r="A16" i="7"/>
  <c r="EW24" i="104" l="1"/>
  <c r="EV25" i="104"/>
  <c r="EV26" i="104" s="1"/>
  <c r="H46" i="1" a="1"/>
  <c r="H46" i="1" s="1"/>
  <c r="I25" i="130" s="1"/>
  <c r="H49" i="130" s="1"/>
  <c r="D41" i="21"/>
  <c r="A17" i="7"/>
  <c r="F16" i="7"/>
  <c r="D7" i="41"/>
  <c r="H7" i="41"/>
  <c r="D10" i="41"/>
  <c r="H10" i="41" s="1"/>
  <c r="D10" i="40"/>
  <c r="H10" i="40" s="1"/>
  <c r="D10" i="35"/>
  <c r="D9" i="32"/>
  <c r="D8" i="32"/>
  <c r="EX24" i="104" l="1"/>
  <c r="EW25" i="104"/>
  <c r="EW26" i="104" s="1"/>
  <c r="N45" i="41"/>
  <c r="I21" i="46" s="1"/>
  <c r="O45" i="41"/>
  <c r="J21" i="46" s="1"/>
  <c r="K45" i="41"/>
  <c r="F21" i="46" s="1"/>
  <c r="H9" i="32"/>
  <c r="E17" i="32" s="1"/>
  <c r="I8" i="7"/>
  <c r="I10" i="35"/>
  <c r="F17" i="7"/>
  <c r="A18" i="7"/>
  <c r="F10" i="41"/>
  <c r="E68" i="1"/>
  <c r="E67" i="1"/>
  <c r="E75" i="1"/>
  <c r="E72" i="1"/>
  <c r="E71" i="1"/>
  <c r="E69" i="1"/>
  <c r="F8" i="35"/>
  <c r="F10" i="40"/>
  <c r="A9" i="35"/>
  <c r="EY24" i="104" l="1"/>
  <c r="EX25" i="104"/>
  <c r="EX26" i="104" s="1"/>
  <c r="H26" i="32"/>
  <c r="H27" i="32" s="1"/>
  <c r="H33" i="32" s="1"/>
  <c r="I29" i="35"/>
  <c r="J29" i="35" s="1"/>
  <c r="K29" i="35" s="1"/>
  <c r="L29" i="35" s="1"/>
  <c r="M29" i="35" s="1"/>
  <c r="N29" i="35" s="1"/>
  <c r="O29" i="35" s="1"/>
  <c r="P29" i="35" s="1"/>
  <c r="Q29" i="35" s="1"/>
  <c r="R29" i="35" s="1"/>
  <c r="S29" i="35" s="1"/>
  <c r="T29" i="35" s="1"/>
  <c r="U29" i="35" s="1"/>
  <c r="V29" i="35" s="1"/>
  <c r="W29" i="35" s="1"/>
  <c r="X29" i="35" s="1"/>
  <c r="Y29" i="35" s="1"/>
  <c r="Z29" i="35" s="1"/>
  <c r="AA29" i="35" s="1"/>
  <c r="AB29" i="35" s="1"/>
  <c r="AC29" i="35" s="1"/>
  <c r="AD29" i="35" s="1"/>
  <c r="AE29" i="35" s="1"/>
  <c r="AF29" i="35" s="1"/>
  <c r="AG29" i="35" s="1"/>
  <c r="AH29" i="35" s="1"/>
  <c r="AI29" i="35" s="1"/>
  <c r="AJ29" i="35" s="1"/>
  <c r="AK29" i="35" s="1"/>
  <c r="AL29" i="35" s="1"/>
  <c r="AM29" i="35" s="1"/>
  <c r="AN29" i="35" s="1"/>
  <c r="AO29" i="35" s="1"/>
  <c r="AP29" i="35" s="1"/>
  <c r="AQ29" i="35" s="1"/>
  <c r="AR29" i="35" s="1"/>
  <c r="AS29" i="35" s="1"/>
  <c r="AT29" i="35" s="1"/>
  <c r="AU29" i="35" s="1"/>
  <c r="AV29" i="35" s="1"/>
  <c r="AW29" i="35" s="1"/>
  <c r="AX29" i="35" s="1"/>
  <c r="AY29" i="35" s="1"/>
  <c r="AZ29" i="35" s="1"/>
  <c r="BA29" i="35" s="1"/>
  <c r="BB29" i="35" s="1"/>
  <c r="BC29" i="35" s="1"/>
  <c r="BD29" i="35" s="1"/>
  <c r="BE29" i="35" s="1"/>
  <c r="BF29" i="35" s="1"/>
  <c r="H14" i="32"/>
  <c r="I40" i="7"/>
  <c r="J40" i="7" s="1"/>
  <c r="K40" i="7" s="1"/>
  <c r="L40" i="7" s="1"/>
  <c r="M40" i="7" s="1"/>
  <c r="N40" i="7" s="1"/>
  <c r="E16" i="32"/>
  <c r="E18" i="32"/>
  <c r="H54" i="7"/>
  <c r="H12" i="46"/>
  <c r="F12" i="46"/>
  <c r="I12" i="46"/>
  <c r="J12" i="46"/>
  <c r="G12" i="46"/>
  <c r="L24" i="40"/>
  <c r="M24" i="40"/>
  <c r="N24" i="40"/>
  <c r="O24" i="40"/>
  <c r="O24" i="67"/>
  <c r="N24" i="67"/>
  <c r="L24" i="67"/>
  <c r="M24" i="67"/>
  <c r="M25" i="41"/>
  <c r="L25" i="41"/>
  <c r="O25" i="41"/>
  <c r="N25" i="41"/>
  <c r="K24" i="67"/>
  <c r="F18" i="7"/>
  <c r="A20" i="7"/>
  <c r="A21" i="7" s="1"/>
  <c r="A22" i="7" s="1"/>
  <c r="A25" i="7" s="1"/>
  <c r="K24" i="40"/>
  <c r="K25" i="41"/>
  <c r="E54" i="7"/>
  <c r="F54" i="7"/>
  <c r="G54" i="7"/>
  <c r="A10" i="35"/>
  <c r="F8" i="32"/>
  <c r="F9" i="35"/>
  <c r="EZ24" i="104" l="1"/>
  <c r="EY25" i="104"/>
  <c r="EY26" i="104" s="1"/>
  <c r="H28" i="32" a="1"/>
  <c r="H28" i="32" s="1"/>
  <c r="H30" i="32" s="1"/>
  <c r="I26" i="32"/>
  <c r="I27" i="32" s="1"/>
  <c r="I33" i="32" s="1"/>
  <c r="O40" i="7"/>
  <c r="I67" i="7"/>
  <c r="J67" i="7"/>
  <c r="H8" i="32"/>
  <c r="I41" i="7"/>
  <c r="D113" i="7"/>
  <c r="D112" i="7"/>
  <c r="D110" i="7"/>
  <c r="D111" i="7"/>
  <c r="F10" i="35"/>
  <c r="A11" i="35"/>
  <c r="FA24" i="104" l="1"/>
  <c r="EZ25" i="104"/>
  <c r="EZ26" i="104" s="1"/>
  <c r="H29" i="32"/>
  <c r="I28" i="32" a="1"/>
  <c r="I28" i="32" s="1"/>
  <c r="I30" i="32" s="1"/>
  <c r="J26" i="32"/>
  <c r="J27" i="32" s="1"/>
  <c r="J33" i="32" s="1"/>
  <c r="P40" i="7"/>
  <c r="K67" i="7"/>
  <c r="J41" i="7"/>
  <c r="A14" i="35"/>
  <c r="A15" i="35" s="1"/>
  <c r="FB24" i="104" l="1"/>
  <c r="FA25" i="104"/>
  <c r="FA26" i="104" s="1"/>
  <c r="I29" i="32"/>
  <c r="J28" i="32" a="1"/>
  <c r="J28" i="32" s="1"/>
  <c r="J30" i="32" s="1"/>
  <c r="K26" i="32"/>
  <c r="L26" i="32" s="1"/>
  <c r="Q40" i="7"/>
  <c r="L67" i="7"/>
  <c r="A16" i="35"/>
  <c r="A17" i="35" s="1"/>
  <c r="F15" i="35"/>
  <c r="I138" i="7"/>
  <c r="K41" i="7"/>
  <c r="FC24" i="104" l="1"/>
  <c r="FB25" i="104"/>
  <c r="FB26" i="104" s="1"/>
  <c r="J29" i="32"/>
  <c r="K27" i="32"/>
  <c r="K33" i="32" s="1"/>
  <c r="R40" i="7"/>
  <c r="M26" i="32"/>
  <c r="L27" i="32"/>
  <c r="L33" i="32" s="1"/>
  <c r="M67" i="7"/>
  <c r="J138" i="7"/>
  <c r="L41" i="7"/>
  <c r="F20" i="7"/>
  <c r="F7" i="41"/>
  <c r="FD24" i="104" l="1"/>
  <c r="FC25" i="104"/>
  <c r="FC26" i="104" s="1"/>
  <c r="K28" i="32" a="1"/>
  <c r="K28" i="32" s="1"/>
  <c r="K30" i="32" s="1"/>
  <c r="S40" i="7"/>
  <c r="N26" i="32"/>
  <c r="M27" i="32"/>
  <c r="M33" i="32" s="1"/>
  <c r="N67" i="7"/>
  <c r="K138" i="7"/>
  <c r="M41" i="7"/>
  <c r="F21" i="7"/>
  <c r="A20" i="35"/>
  <c r="F17" i="35"/>
  <c r="FE24" i="104" l="1"/>
  <c r="FD25" i="104"/>
  <c r="FD26" i="104" s="1"/>
  <c r="K29" i="32"/>
  <c r="L28" i="32" a="1"/>
  <c r="L28" i="32" s="1"/>
  <c r="L30" i="32" s="1"/>
  <c r="T40" i="7"/>
  <c r="O26" i="32"/>
  <c r="N27" i="32"/>
  <c r="N33" i="32" s="1"/>
  <c r="O67" i="7"/>
  <c r="E36" i="69"/>
  <c r="E42" i="69"/>
  <c r="E43" i="69"/>
  <c r="E31" i="69"/>
  <c r="E30" i="69"/>
  <c r="L138" i="7"/>
  <c r="N41" i="7"/>
  <c r="F22" i="7"/>
  <c r="A14" i="41"/>
  <c r="F20" i="35"/>
  <c r="A21" i="35"/>
  <c r="A22" i="35" s="1"/>
  <c r="A14" i="40"/>
  <c r="FF24" i="104" l="1"/>
  <c r="FE25" i="104"/>
  <c r="FE26" i="104" s="1"/>
  <c r="L29" i="32"/>
  <c r="M28" i="32" a="1"/>
  <c r="M28" i="32" s="1"/>
  <c r="M30" i="32" s="1"/>
  <c r="U40" i="7"/>
  <c r="P26" i="32"/>
  <c r="O27" i="32"/>
  <c r="O33" i="32" s="1"/>
  <c r="P67" i="7"/>
  <c r="A15" i="41"/>
  <c r="A15" i="40"/>
  <c r="F15" i="40" s="1"/>
  <c r="M138" i="7"/>
  <c r="O41" i="7"/>
  <c r="A23" i="35"/>
  <c r="A24" i="35" s="1"/>
  <c r="FG24" i="104" l="1"/>
  <c r="FF25" i="104"/>
  <c r="FF26" i="104" s="1"/>
  <c r="M29" i="32"/>
  <c r="N28" i="32" a="1"/>
  <c r="N28" i="32" s="1"/>
  <c r="N30" i="32" s="1"/>
  <c r="V40" i="7"/>
  <c r="Q26" i="32"/>
  <c r="P27" i="32"/>
  <c r="P33" i="32" s="1"/>
  <c r="Q67" i="7"/>
  <c r="A16" i="41"/>
  <c r="F16" i="41" s="1"/>
  <c r="F15" i="41"/>
  <c r="A19" i="41"/>
  <c r="F19" i="41" s="1"/>
  <c r="H26" i="41" s="1"/>
  <c r="A16" i="40"/>
  <c r="N138" i="7"/>
  <c r="P41" i="7"/>
  <c r="FH24" i="104" l="1"/>
  <c r="FG25" i="104"/>
  <c r="FG26" i="104" s="1"/>
  <c r="N29" i="32"/>
  <c r="O28" i="32" a="1"/>
  <c r="O28" i="32" s="1"/>
  <c r="O30" i="32" s="1"/>
  <c r="W40" i="7"/>
  <c r="R26" i="32"/>
  <c r="Q27" i="32"/>
  <c r="Q33" i="32" s="1"/>
  <c r="A34" i="41"/>
  <c r="A37" i="41" s="1"/>
  <c r="R67" i="7"/>
  <c r="F16" i="40"/>
  <c r="A19" i="40"/>
  <c r="O138" i="7"/>
  <c r="Q41" i="7"/>
  <c r="FI24" i="104" l="1"/>
  <c r="FH25" i="104"/>
  <c r="FH26" i="104" s="1"/>
  <c r="O29" i="32"/>
  <c r="P28" i="32" a="1"/>
  <c r="P28" i="32" s="1"/>
  <c r="P30" i="32" s="1"/>
  <c r="X40" i="7"/>
  <c r="S26" i="32"/>
  <c r="R27" i="32"/>
  <c r="R33" i="32" s="1"/>
  <c r="S67" i="7"/>
  <c r="F19" i="40"/>
  <c r="H26" i="40" s="1"/>
  <c r="P138" i="7"/>
  <c r="R41" i="7"/>
  <c r="A26" i="7"/>
  <c r="A27" i="7" s="1"/>
  <c r="A28" i="7" s="1"/>
  <c r="A29" i="7" s="1"/>
  <c r="A30" i="7" s="1"/>
  <c r="F30" i="7" s="1"/>
  <c r="FJ24" i="104" l="1"/>
  <c r="FI25" i="104"/>
  <c r="FI26" i="104" s="1"/>
  <c r="P29" i="32"/>
  <c r="Q28" i="32" a="1"/>
  <c r="Q28" i="32" s="1"/>
  <c r="Q30" i="32" s="1"/>
  <c r="Y40" i="7"/>
  <c r="T26" i="32"/>
  <c r="S27" i="32"/>
  <c r="S33" i="32" s="1"/>
  <c r="T67" i="7"/>
  <c r="Q138" i="7"/>
  <c r="S41" i="7"/>
  <c r="A31" i="7"/>
  <c r="F31" i="7" s="1"/>
  <c r="FK24" i="104" l="1"/>
  <c r="FJ25" i="104"/>
  <c r="FJ26" i="104" s="1"/>
  <c r="Q29" i="32"/>
  <c r="R28" i="32" a="1"/>
  <c r="R28" i="32" s="1"/>
  <c r="R30" i="32" s="1"/>
  <c r="Z40" i="7"/>
  <c r="T27" i="32"/>
  <c r="T33" i="32" s="1"/>
  <c r="U26" i="32"/>
  <c r="U67" i="7"/>
  <c r="R138" i="7"/>
  <c r="T41" i="7"/>
  <c r="FL24" i="104" l="1"/>
  <c r="FK25" i="104"/>
  <c r="FK26" i="104" s="1"/>
  <c r="R29" i="32"/>
  <c r="S28" i="32" a="1"/>
  <c r="S28" i="32" s="1"/>
  <c r="S30" i="32" s="1"/>
  <c r="AA40" i="7"/>
  <c r="U27" i="32"/>
  <c r="U33" i="32" s="1"/>
  <c r="V26" i="32"/>
  <c r="V67" i="7"/>
  <c r="S138" i="7"/>
  <c r="U41" i="7"/>
  <c r="FM24" i="104" l="1"/>
  <c r="FL25" i="104"/>
  <c r="FL26" i="104" s="1"/>
  <c r="S29" i="32"/>
  <c r="T28" i="32" a="1"/>
  <c r="T28" i="32" s="1"/>
  <c r="T30" i="32" s="1"/>
  <c r="AB40" i="7"/>
  <c r="V27" i="32"/>
  <c r="V33" i="32" s="1"/>
  <c r="W26" i="32"/>
  <c r="W67" i="7"/>
  <c r="A34" i="40"/>
  <c r="A37" i="40" s="1"/>
  <c r="A40" i="40" s="1"/>
  <c r="F40" i="40" s="1"/>
  <c r="T138" i="7"/>
  <c r="V41" i="7"/>
  <c r="A28" i="35"/>
  <c r="A29" i="35" s="1"/>
  <c r="FN24" i="104" l="1"/>
  <c r="FM25" i="104"/>
  <c r="FM26" i="104" s="1"/>
  <c r="T29" i="32"/>
  <c r="U28" i="32" a="1"/>
  <c r="U28" i="32" s="1"/>
  <c r="AC40" i="7"/>
  <c r="X26" i="32"/>
  <c r="W27" i="32"/>
  <c r="W33" i="32" s="1"/>
  <c r="X67" i="7"/>
  <c r="A33" i="35"/>
  <c r="A34" i="35" s="1"/>
  <c r="A35" i="35" s="1"/>
  <c r="F29" i="35"/>
  <c r="D53" i="35" s="1"/>
  <c r="F34" i="40"/>
  <c r="A41" i="40"/>
  <c r="F41" i="40" s="1"/>
  <c r="U138" i="7"/>
  <c r="W41" i="7"/>
  <c r="A34" i="7"/>
  <c r="FO24" i="104" l="1"/>
  <c r="FN25" i="104"/>
  <c r="FN26" i="104" s="1"/>
  <c r="V28" i="32" a="1"/>
  <c r="V28" i="32" s="1"/>
  <c r="V30" i="32" s="1"/>
  <c r="U30" i="32"/>
  <c r="U29" i="32"/>
  <c r="AD40" i="7"/>
  <c r="Y26" i="32"/>
  <c r="X27" i="32"/>
  <c r="X33" i="32" s="1"/>
  <c r="Y67" i="7"/>
  <c r="A36" i="35"/>
  <c r="F36" i="35" s="1"/>
  <c r="A42" i="40"/>
  <c r="A43" i="40" s="1"/>
  <c r="F43" i="40" s="1"/>
  <c r="V138" i="7"/>
  <c r="X41" i="7"/>
  <c r="F34" i="7"/>
  <c r="D94" i="7" s="1"/>
  <c r="A35" i="7"/>
  <c r="A36" i="7" s="1"/>
  <c r="A40" i="7" s="1"/>
  <c r="FP24" i="104" l="1"/>
  <c r="FO25" i="104"/>
  <c r="FO26" i="104" s="1"/>
  <c r="W28" i="32" a="1"/>
  <c r="W28" i="32" s="1"/>
  <c r="W30" i="32" s="1"/>
  <c r="V29" i="32"/>
  <c r="A37" i="35"/>
  <c r="F37" i="35" s="1"/>
  <c r="AE40" i="7"/>
  <c r="Y27" i="32"/>
  <c r="Y33" i="32" s="1"/>
  <c r="Z26" i="32"/>
  <c r="Z67" i="7"/>
  <c r="F34" i="41"/>
  <c r="A40" i="41"/>
  <c r="A41" i="41" s="1"/>
  <c r="F41" i="41" s="1"/>
  <c r="F42" i="40"/>
  <c r="A44" i="40"/>
  <c r="W138" i="7"/>
  <c r="G44" i="35"/>
  <c r="F40" i="7"/>
  <c r="A41" i="7"/>
  <c r="A42" i="7" s="1"/>
  <c r="A43" i="7" s="1"/>
  <c r="Y41" i="7"/>
  <c r="A38" i="35" l="1"/>
  <c r="A42" i="35" s="1"/>
  <c r="A43" i="35" s="1"/>
  <c r="A44" i="35" s="1"/>
  <c r="FQ24" i="104"/>
  <c r="FP25" i="104"/>
  <c r="FP26" i="104" s="1"/>
  <c r="X28" i="32" a="1"/>
  <c r="X28" i="32" s="1"/>
  <c r="X30" i="32" s="1"/>
  <c r="W29" i="32"/>
  <c r="AF40" i="7"/>
  <c r="Z27" i="32"/>
  <c r="Z33" i="32" s="1"/>
  <c r="AA26" i="32"/>
  <c r="G41" i="7"/>
  <c r="G67" i="7"/>
  <c r="AA67" i="7"/>
  <c r="A42" i="41"/>
  <c r="F42" i="41" s="1"/>
  <c r="F44" i="40"/>
  <c r="A45" i="40"/>
  <c r="X138" i="7"/>
  <c r="A44" i="7"/>
  <c r="A45" i="7" s="1"/>
  <c r="A67" i="7" s="1"/>
  <c r="F67" i="7" s="1"/>
  <c r="Z41" i="7"/>
  <c r="FR24" i="104" l="1"/>
  <c r="FQ25" i="104"/>
  <c r="FQ26" i="104" s="1"/>
  <c r="Y28" i="32" a="1"/>
  <c r="Y28" i="32" s="1"/>
  <c r="Y30" i="32" s="1"/>
  <c r="X29" i="32"/>
  <c r="AG40" i="7"/>
  <c r="AA27" i="32"/>
  <c r="AA33" i="32" s="1"/>
  <c r="AB26" i="32"/>
  <c r="AB67" i="7"/>
  <c r="A43" i="41"/>
  <c r="F43" i="41" s="1"/>
  <c r="A46" i="40"/>
  <c r="A47" i="40" s="1"/>
  <c r="F45" i="40"/>
  <c r="Y138" i="7"/>
  <c r="AA41" i="7"/>
  <c r="FS24" i="104" l="1"/>
  <c r="FR25" i="104"/>
  <c r="FR26" i="104" s="1"/>
  <c r="Z28" i="32" a="1"/>
  <c r="Z28" i="32" s="1"/>
  <c r="Z30" i="32" s="1"/>
  <c r="Y29" i="32"/>
  <c r="A44" i="41"/>
  <c r="F44" i="41" s="1"/>
  <c r="AB27" i="32"/>
  <c r="AB33" i="32" s="1"/>
  <c r="AC26" i="32"/>
  <c r="AC67" i="7"/>
  <c r="A45" i="41"/>
  <c r="F46" i="40"/>
  <c r="F47" i="40"/>
  <c r="G50" i="40" s="1"/>
  <c r="Z138" i="7"/>
  <c r="AB41" i="7"/>
  <c r="F36" i="7"/>
  <c r="F35" i="7"/>
  <c r="D95" i="7" s="1"/>
  <c r="FT24" i="104" l="1"/>
  <c r="FS25" i="104"/>
  <c r="FS26" i="104" s="1"/>
  <c r="AA28" i="32" a="1"/>
  <c r="AA28" i="32" s="1"/>
  <c r="AA30" i="32" s="1"/>
  <c r="Z29" i="32"/>
  <c r="AB39" i="32"/>
  <c r="AC27" i="32"/>
  <c r="AC33" i="32" s="1"/>
  <c r="AD26" i="32"/>
  <c r="AD67" i="7"/>
  <c r="A46" i="41"/>
  <c r="F46" i="41" s="1"/>
  <c r="F45" i="41"/>
  <c r="D96" i="7"/>
  <c r="AA138" i="7"/>
  <c r="FU24" i="104" l="1"/>
  <c r="FT25" i="104"/>
  <c r="FT26" i="104" s="1"/>
  <c r="AB28" i="32" a="1"/>
  <c r="AB28" i="32" s="1"/>
  <c r="AB30" i="32" s="1"/>
  <c r="AA29" i="32"/>
  <c r="AC39" i="32"/>
  <c r="A50" i="41"/>
  <c r="F50" i="41" s="1"/>
  <c r="G51" i="41" s="1"/>
  <c r="AD27" i="32"/>
  <c r="AD33" i="32" s="1"/>
  <c r="AE26" i="32"/>
  <c r="AE67" i="7"/>
  <c r="AC41" i="7"/>
  <c r="A51" i="41"/>
  <c r="F51" i="41" s="1"/>
  <c r="AB138" i="7"/>
  <c r="FV24" i="104" l="1"/>
  <c r="FU25" i="104"/>
  <c r="FU26" i="104" s="1"/>
  <c r="AC28" i="32" a="1"/>
  <c r="AC28" i="32" s="1"/>
  <c r="AC30" i="32" s="1"/>
  <c r="AB29" i="32"/>
  <c r="AD39" i="32"/>
  <c r="AE27" i="32"/>
  <c r="AE33" i="32" s="1"/>
  <c r="AF26" i="32"/>
  <c r="AG67" i="7"/>
  <c r="AF67" i="7"/>
  <c r="AD41" i="7"/>
  <c r="AC138" i="7"/>
  <c r="FW24" i="104" l="1"/>
  <c r="FV25" i="104"/>
  <c r="FV26" i="104" s="1"/>
  <c r="AD28" i="32" a="1"/>
  <c r="AD28" i="32" s="1"/>
  <c r="AD30" i="32" s="1"/>
  <c r="AC29" i="32"/>
  <c r="AE39" i="32"/>
  <c r="AF27" i="32"/>
  <c r="AF33" i="32" s="1"/>
  <c r="AG26" i="32"/>
  <c r="AE41" i="7"/>
  <c r="AD138" i="7"/>
  <c r="FX24" i="104" l="1"/>
  <c r="FW25" i="104"/>
  <c r="FW26" i="104" s="1"/>
  <c r="AE28" i="32" a="1"/>
  <c r="AE28" i="32" s="1"/>
  <c r="AE30" i="32" s="1"/>
  <c r="AD29" i="32"/>
  <c r="AF39" i="32"/>
  <c r="AG27" i="32"/>
  <c r="AG33" i="32" s="1"/>
  <c r="AH26" i="32"/>
  <c r="AH27" i="32" s="1"/>
  <c r="AH33" i="32" s="1"/>
  <c r="AF41" i="7"/>
  <c r="AE138" i="7"/>
  <c r="FY24" i="104" l="1"/>
  <c r="FX25" i="104"/>
  <c r="FX26" i="104" s="1"/>
  <c r="AF28" i="32" a="1"/>
  <c r="AF28" i="32" s="1"/>
  <c r="AF30" i="32" s="1"/>
  <c r="AE29" i="32"/>
  <c r="AH39" i="32"/>
  <c r="AG39" i="32"/>
  <c r="AG41" i="7"/>
  <c r="AF138" i="7"/>
  <c r="FZ24" i="104" l="1"/>
  <c r="FY25" i="104"/>
  <c r="FY26" i="104" s="1"/>
  <c r="AG28" i="32" a="1"/>
  <c r="AG28" i="32" s="1"/>
  <c r="AH28" i="32" s="1" a="1"/>
  <c r="AH28" i="32" s="1"/>
  <c r="AH30" i="32" s="1"/>
  <c r="AF29" i="32"/>
  <c r="AG138" i="7"/>
  <c r="F43" i="7"/>
  <c r="D97" i="7" s="1"/>
  <c r="F44" i="7"/>
  <c r="GA24" i="104" l="1"/>
  <c r="FZ25" i="104"/>
  <c r="FZ26" i="104" s="1"/>
  <c r="AG30" i="32"/>
  <c r="AG29" i="32"/>
  <c r="F45" i="7"/>
  <c r="A69" i="7"/>
  <c r="A70" i="7" s="1"/>
  <c r="A72" i="7" s="1"/>
  <c r="A74" i="7" s="1"/>
  <c r="A75" i="7" s="1"/>
  <c r="T17" i="46"/>
  <c r="T16" i="46"/>
  <c r="GB24" i="104" l="1"/>
  <c r="GA25" i="104"/>
  <c r="GA26" i="104" s="1"/>
  <c r="AH29" i="32"/>
  <c r="D17" i="46"/>
  <c r="G17" i="46"/>
  <c r="J17" i="46"/>
  <c r="I17" i="46"/>
  <c r="F17" i="46"/>
  <c r="H17" i="46"/>
  <c r="D16" i="46"/>
  <c r="G16" i="46"/>
  <c r="F16" i="46"/>
  <c r="H16" i="46"/>
  <c r="I16" i="46"/>
  <c r="J16" i="46"/>
  <c r="A77" i="7"/>
  <c r="GC24" i="104" l="1"/>
  <c r="GB25" i="104"/>
  <c r="GB26" i="104" s="1"/>
  <c r="F77" i="7"/>
  <c r="D119" i="7" s="1"/>
  <c r="GD24" i="104" l="1"/>
  <c r="GC25" i="104"/>
  <c r="GC26" i="104" s="1"/>
  <c r="A78" i="7"/>
  <c r="D27" i="39"/>
  <c r="A20" i="39"/>
  <c r="A21" i="39" s="1"/>
  <c r="F21" i="39" s="1"/>
  <c r="D30" i="39" s="1"/>
  <c r="GE24" i="104" l="1"/>
  <c r="GD25" i="104"/>
  <c r="GD26" i="104" s="1"/>
  <c r="F78" i="7"/>
  <c r="A80" i="7"/>
  <c r="A84" i="7" s="1"/>
  <c r="A85" i="7" s="1"/>
  <c r="A86" i="7" s="1"/>
  <c r="GF24" i="104" l="1"/>
  <c r="GE25" i="104"/>
  <c r="GE26" i="104" s="1"/>
  <c r="F12" i="39"/>
  <c r="D28" i="39" s="1"/>
  <c r="GG24" i="104" l="1"/>
  <c r="GF25" i="104"/>
  <c r="GF26" i="104" s="1"/>
  <c r="K28" i="45" a="1"/>
  <c r="K28" i="45" s="1"/>
  <c r="H28" i="45" a="1"/>
  <c r="H28" i="45" s="1"/>
  <c r="I28" i="45" a="1"/>
  <c r="I28" i="45" s="1"/>
  <c r="J28" i="45" a="1"/>
  <c r="J28" i="45" s="1"/>
  <c r="D46" i="43"/>
  <c r="S21" i="45" s="1"/>
  <c r="D21" i="45" s="1"/>
  <c r="F20" i="39"/>
  <c r="D29" i="39" s="1"/>
  <c r="D44" i="43"/>
  <c r="S19" i="45" s="1"/>
  <c r="D19" i="45" s="1"/>
  <c r="D45" i="43"/>
  <c r="S20" i="45" s="1"/>
  <c r="D20" i="45" s="1"/>
  <c r="GH24" i="104" l="1"/>
  <c r="GG25" i="104"/>
  <c r="GG26" i="104" s="1"/>
  <c r="G19" i="45" a="1"/>
  <c r="G19" i="45" s="1"/>
  <c r="H19" i="45" a="1"/>
  <c r="H19" i="45" s="1"/>
  <c r="K19" i="45" a="1"/>
  <c r="K19" i="45" s="1"/>
  <c r="J19" i="45" a="1"/>
  <c r="J19" i="45" s="1"/>
  <c r="I19" i="45" a="1"/>
  <c r="I19" i="45" s="1"/>
  <c r="G21" i="45" a="1"/>
  <c r="G21" i="45" s="1"/>
  <c r="K21" i="45" a="1"/>
  <c r="K21" i="45" s="1"/>
  <c r="J21" i="45" a="1"/>
  <c r="J21" i="45" s="1"/>
  <c r="I21" i="45" a="1"/>
  <c r="I21" i="45" s="1"/>
  <c r="H21" i="45" a="1"/>
  <c r="H21" i="45" s="1"/>
  <c r="J20" i="45" a="1"/>
  <c r="J20" i="45" s="1"/>
  <c r="K20" i="45" a="1"/>
  <c r="K20" i="45" s="1"/>
  <c r="I20" i="45" a="1"/>
  <c r="I20" i="45" s="1"/>
  <c r="H20" i="45" a="1"/>
  <c r="H20" i="45" s="1"/>
  <c r="G20" i="45" a="1"/>
  <c r="G20" i="45" s="1"/>
  <c r="GI24" i="104" l="1"/>
  <c r="GH25" i="104"/>
  <c r="GH26" i="104" s="1"/>
  <c r="B11" i="44"/>
  <c r="GJ24" i="104" l="1"/>
  <c r="GI25" i="104"/>
  <c r="GI26" i="104" s="1"/>
  <c r="K33" i="49" a="1"/>
  <c r="K33" i="49" s="1"/>
  <c r="J11" i="44"/>
  <c r="GK24" i="104" l="1"/>
  <c r="GJ25" i="104"/>
  <c r="GJ26" i="104" s="1"/>
  <c r="D4" i="68"/>
  <c r="I32" i="49" a="1"/>
  <c r="I32" i="49" s="1"/>
  <c r="G33" i="49" a="1"/>
  <c r="G33" i="49" s="1"/>
  <c r="H32" i="49" a="1"/>
  <c r="H32" i="49" s="1"/>
  <c r="K32" i="49" a="1"/>
  <c r="K32" i="49" s="1"/>
  <c r="B13" i="44"/>
  <c r="J13" i="44" s="1"/>
  <c r="B12" i="44"/>
  <c r="J12" i="44" s="1"/>
  <c r="D4" i="47" s="1"/>
  <c r="G32" i="49" a="1"/>
  <c r="G32" i="49" s="1"/>
  <c r="I33" i="49" a="1"/>
  <c r="I33" i="49" s="1"/>
  <c r="H33" i="49" a="1"/>
  <c r="H33" i="49" s="1"/>
  <c r="J32" i="49" a="1"/>
  <c r="J32" i="49" s="1"/>
  <c r="J33" i="49" a="1"/>
  <c r="J33" i="49" s="1"/>
  <c r="D3" i="48"/>
  <c r="GL24" i="104" l="1"/>
  <c r="GK25" i="104"/>
  <c r="GK26" i="104" s="1"/>
  <c r="D3" i="68"/>
  <c r="D4" i="49"/>
  <c r="D3" i="49" s="1"/>
  <c r="B14" i="44"/>
  <c r="J14" i="44" s="1"/>
  <c r="D4" i="69" s="1"/>
  <c r="D3" i="69" s="1"/>
  <c r="S25" i="45"/>
  <c r="D25" i="45" s="1"/>
  <c r="S26" i="45"/>
  <c r="D26" i="45" s="1"/>
  <c r="S24" i="45"/>
  <c r="D24" i="45" s="1"/>
  <c r="S18" i="45"/>
  <c r="D18" i="45" s="1"/>
  <c r="S17" i="45"/>
  <c r="D17" i="45" s="1"/>
  <c r="GM24" i="104" l="1"/>
  <c r="GL25" i="104"/>
  <c r="GL26" i="104" s="1"/>
  <c r="K24" i="45" a="1"/>
  <c r="K24" i="45" s="1"/>
  <c r="I24" i="45" a="1"/>
  <c r="I24" i="45" s="1"/>
  <c r="G24" i="45" a="1"/>
  <c r="G24" i="45" s="1"/>
  <c r="H24" i="45" a="1"/>
  <c r="H24" i="45" s="1"/>
  <c r="J24" i="45" a="1"/>
  <c r="J24" i="45" s="1"/>
  <c r="H25" i="45" a="1"/>
  <c r="H25" i="45" s="1"/>
  <c r="G25" i="45" a="1"/>
  <c r="G25" i="45" s="1"/>
  <c r="K25" i="45" a="1"/>
  <c r="K25" i="45" s="1"/>
  <c r="I25" i="45" a="1"/>
  <c r="I25" i="45" s="1"/>
  <c r="J25" i="45" a="1"/>
  <c r="J25" i="45" s="1"/>
  <c r="G17" i="45" a="1"/>
  <c r="G17" i="45" s="1"/>
  <c r="K17" i="45" a="1"/>
  <c r="K17" i="45" s="1"/>
  <c r="J17" i="45" a="1"/>
  <c r="J17" i="45" s="1"/>
  <c r="I17" i="45" a="1"/>
  <c r="I17" i="45" s="1"/>
  <c r="H17" i="45" a="1"/>
  <c r="H17" i="45" s="1"/>
  <c r="J18" i="45" a="1"/>
  <c r="J18" i="45" s="1"/>
  <c r="K18" i="45" a="1"/>
  <c r="K18" i="45" s="1"/>
  <c r="I18" i="45" a="1"/>
  <c r="I18" i="45" s="1"/>
  <c r="H18" i="45" a="1"/>
  <c r="H18" i="45" s="1"/>
  <c r="G18" i="45" a="1"/>
  <c r="G18" i="45" s="1"/>
  <c r="J26" i="45" a="1"/>
  <c r="J26" i="45" s="1"/>
  <c r="K26" i="45" a="1"/>
  <c r="K26" i="45" s="1"/>
  <c r="I26" i="45" a="1"/>
  <c r="I26" i="45" s="1"/>
  <c r="H26" i="45" a="1"/>
  <c r="H26" i="45" s="1"/>
  <c r="G26" i="45" a="1"/>
  <c r="G26" i="45" s="1"/>
  <c r="B15" i="44"/>
  <c r="J15" i="44" s="1"/>
  <c r="H62" i="1"/>
  <c r="H61" i="1"/>
  <c r="GN24" i="104" l="1"/>
  <c r="GM25" i="104"/>
  <c r="GM26" i="104" s="1"/>
  <c r="D4" i="45"/>
  <c r="D3" i="45" s="1"/>
  <c r="K15" i="45"/>
  <c r="G15" i="45"/>
  <c r="I15" i="45"/>
  <c r="H15" i="45"/>
  <c r="J15" i="45"/>
  <c r="B16" i="44"/>
  <c r="J16" i="44" s="1"/>
  <c r="GO24" i="104" l="1"/>
  <c r="GN25" i="104"/>
  <c r="GN26" i="104" s="1"/>
  <c r="D3" i="47"/>
  <c r="D4" i="50"/>
  <c r="D3" i="50" s="1"/>
  <c r="B17" i="44"/>
  <c r="J17" i="44" s="1"/>
  <c r="GP24" i="104" l="1"/>
  <c r="GO25" i="104"/>
  <c r="GO26" i="104" s="1"/>
  <c r="D4" i="70"/>
  <c r="D3" i="70" s="1"/>
  <c r="I25" i="7"/>
  <c r="B18" i="44"/>
  <c r="J18" i="44" s="1"/>
  <c r="D4" i="46" s="1"/>
  <c r="D3" i="46" s="1"/>
  <c r="E131" i="7"/>
  <c r="E130" i="7"/>
  <c r="E129" i="7"/>
  <c r="GQ24" i="104" l="1"/>
  <c r="GP25" i="104"/>
  <c r="GP26" i="104" s="1"/>
  <c r="E25" i="7"/>
  <c r="GR24" i="104" l="1"/>
  <c r="GQ25" i="104"/>
  <c r="GQ26" i="104" s="1"/>
  <c r="D28" i="7"/>
  <c r="I28" i="7" s="1"/>
  <c r="GS24" i="104" l="1"/>
  <c r="GR25" i="104"/>
  <c r="GR26" i="104" s="1"/>
  <c r="D44" i="7"/>
  <c r="AU44" i="7"/>
  <c r="E29" i="7"/>
  <c r="D29" i="7"/>
  <c r="I29" i="7" s="1"/>
  <c r="D7" i="43"/>
  <c r="GT24" i="104" l="1"/>
  <c r="GS25" i="104"/>
  <c r="GS26" i="104" s="1"/>
  <c r="F7" i="43"/>
  <c r="GU24" i="104" l="1"/>
  <c r="GT25" i="104"/>
  <c r="GT26" i="104" s="1"/>
  <c r="H7" i="42"/>
  <c r="GV24" i="104" l="1"/>
  <c r="GU25" i="104"/>
  <c r="GU26" i="104" s="1"/>
  <c r="D7" i="42"/>
  <c r="D7" i="40"/>
  <c r="A40" i="44"/>
  <c r="A29" i="44"/>
  <c r="GW24" i="104" l="1"/>
  <c r="GV25" i="104"/>
  <c r="GV26" i="104" s="1"/>
  <c r="A41" i="44"/>
  <c r="A42" i="44" s="1"/>
  <c r="B42" i="44" s="1"/>
  <c r="J42" i="44" s="1"/>
  <c r="D4" i="11" s="1"/>
  <c r="B29" i="44"/>
  <c r="J29" i="44" s="1"/>
  <c r="D4" i="32" s="1"/>
  <c r="B40" i="44"/>
  <c r="J40" i="44" s="1"/>
  <c r="D4" i="39" s="1"/>
  <c r="A30" i="44"/>
  <c r="H7" i="40"/>
  <c r="GX24" i="104" l="1"/>
  <c r="GW25" i="104"/>
  <c r="GW26" i="104" s="1"/>
  <c r="A25" i="44"/>
  <c r="B25" i="44" s="1"/>
  <c r="J25" i="44" s="1"/>
  <c r="D4" i="7" s="1"/>
  <c r="O46" i="40"/>
  <c r="N46" i="40"/>
  <c r="B41" i="44"/>
  <c r="J41" i="44" s="1"/>
  <c r="J22" i="44"/>
  <c r="D4" i="130" s="1"/>
  <c r="D3" i="130" s="1"/>
  <c r="B30" i="44"/>
  <c r="F7" i="40"/>
  <c r="A31" i="44"/>
  <c r="B31" i="44" s="1"/>
  <c r="J31" i="44" s="1"/>
  <c r="D4" i="67" s="1"/>
  <c r="GY24" i="104" l="1"/>
  <c r="GX25" i="104"/>
  <c r="GX26" i="104" s="1"/>
  <c r="A26" i="44"/>
  <c r="B26" i="44" s="1"/>
  <c r="J26" i="44" s="1"/>
  <c r="D4" i="35" s="1"/>
  <c r="I21" i="50" a="1"/>
  <c r="I21" i="50" s="1"/>
  <c r="J21" i="50" a="1"/>
  <c r="J21" i="50" s="1"/>
  <c r="D4" i="51"/>
  <c r="D3" i="51" s="1"/>
  <c r="J30" i="44"/>
  <c r="D4" i="40" s="1"/>
  <c r="A32" i="44"/>
  <c r="B32" i="44" s="1"/>
  <c r="J32" i="44" s="1"/>
  <c r="D4" i="41" s="1"/>
  <c r="D3" i="67"/>
  <c r="A43" i="44"/>
  <c r="GZ24" i="104" l="1"/>
  <c r="GY25" i="104"/>
  <c r="GY26" i="104" s="1"/>
  <c r="G11" i="68"/>
  <c r="A33" i="44"/>
  <c r="B33" i="44" s="1"/>
  <c r="B43" i="44"/>
  <c r="J43" i="44" s="1"/>
  <c r="D4" i="21" s="1"/>
  <c r="U26" i="42"/>
  <c r="HA24" i="104" l="1"/>
  <c r="GZ25" i="104"/>
  <c r="GZ26" i="104" s="1"/>
  <c r="J33" i="44"/>
  <c r="A34" i="44"/>
  <c r="HB24" i="104" l="1"/>
  <c r="HA25" i="104"/>
  <c r="HA26" i="104" s="1"/>
  <c r="D4" i="73"/>
  <c r="D3" i="73" s="1"/>
  <c r="B34" i="44"/>
  <c r="J34" i="44" s="1"/>
  <c r="D4" i="42" s="1"/>
  <c r="D3" i="42" s="1"/>
  <c r="A35" i="44"/>
  <c r="HC24" i="104" l="1"/>
  <c r="HB25" i="104"/>
  <c r="HB26" i="104" s="1"/>
  <c r="G22" i="73"/>
  <c r="G18" i="73"/>
  <c r="G40" i="32"/>
  <c r="G45" i="41"/>
  <c r="G46" i="67"/>
  <c r="G46" i="40"/>
  <c r="A44" i="44"/>
  <c r="A45" i="44" s="1"/>
  <c r="G37" i="40"/>
  <c r="B35" i="44"/>
  <c r="J35" i="44" s="1"/>
  <c r="D4" i="65" s="1"/>
  <c r="D3" i="65" s="1"/>
  <c r="A36" i="44"/>
  <c r="HD24" i="104" l="1"/>
  <c r="HC25" i="104"/>
  <c r="HC26" i="104" s="1"/>
  <c r="G19" i="73"/>
  <c r="G23" i="73"/>
  <c r="G37" i="67"/>
  <c r="B44" i="44"/>
  <c r="J44" i="44" s="1"/>
  <c r="D4" i="56" s="1"/>
  <c r="D3" i="56" s="1"/>
  <c r="G30" i="32" s="1"/>
  <c r="B36" i="44"/>
  <c r="J36" i="44" s="1"/>
  <c r="D4" i="43" s="1"/>
  <c r="D3" i="43" s="1"/>
  <c r="A37" i="44"/>
  <c r="B37" i="44" s="1"/>
  <c r="J37" i="44" s="1"/>
  <c r="D4" i="104" s="1"/>
  <c r="D3" i="104" s="1"/>
  <c r="B45" i="44"/>
  <c r="J45" i="44" s="1"/>
  <c r="D4" i="72" s="1"/>
  <c r="D3" i="72" s="1"/>
  <c r="A46" i="44"/>
  <c r="HE24" i="104" l="1"/>
  <c r="HD25" i="104"/>
  <c r="HD26" i="104" s="1"/>
  <c r="G14" i="73"/>
  <c r="G13" i="73"/>
  <c r="G15" i="73"/>
  <c r="G20" i="73"/>
  <c r="G24" i="73"/>
  <c r="G17" i="43"/>
  <c r="G16" i="43"/>
  <c r="G21" i="65"/>
  <c r="G20" i="42"/>
  <c r="G19" i="42"/>
  <c r="G19" i="40"/>
  <c r="G18" i="43"/>
  <c r="G20" i="65"/>
  <c r="G19" i="65"/>
  <c r="G21" i="42"/>
  <c r="G19" i="41"/>
  <c r="G19" i="67"/>
  <c r="G22" i="32"/>
  <c r="G19" i="43"/>
  <c r="G12" i="73"/>
  <c r="K13" i="73"/>
  <c r="AO44" i="73" s="1"/>
  <c r="K14" i="73"/>
  <c r="B46" i="44"/>
  <c r="J46" i="44" s="1"/>
  <c r="D4" i="81" s="1"/>
  <c r="A47" i="44"/>
  <c r="G37" i="41"/>
  <c r="HF24" i="104" l="1"/>
  <c r="HE25" i="104"/>
  <c r="HE26" i="104" s="1"/>
  <c r="B47" i="44"/>
  <c r="J47" i="44" s="1"/>
  <c r="D4" i="79" s="1"/>
  <c r="D3" i="79" s="1"/>
  <c r="A48" i="44"/>
  <c r="HG24" i="104" l="1"/>
  <c r="HF25" i="104"/>
  <c r="HF26" i="104" s="1"/>
  <c r="G70" i="65"/>
  <c r="G51" i="42"/>
  <c r="G50" i="65"/>
  <c r="G48" i="42"/>
  <c r="G43" i="42"/>
  <c r="G42" i="42"/>
  <c r="G49" i="65"/>
  <c r="G66" i="65"/>
  <c r="G48" i="65"/>
  <c r="G43" i="65"/>
  <c r="G67" i="42"/>
  <c r="G50" i="42"/>
  <c r="G67" i="65"/>
  <c r="G42" i="65"/>
  <c r="G68" i="65"/>
  <c r="G41" i="65"/>
  <c r="G49" i="42"/>
  <c r="G66" i="42"/>
  <c r="G51" i="65"/>
  <c r="G52" i="65"/>
  <c r="G65" i="42"/>
  <c r="B48" i="44"/>
  <c r="J48" i="44" s="1"/>
  <c r="D4" i="80" s="1"/>
  <c r="HH24" i="104" l="1"/>
  <c r="HG25" i="104"/>
  <c r="HG26" i="104" s="1"/>
  <c r="A49" i="44"/>
  <c r="HI24" i="104" l="1"/>
  <c r="HH25" i="104"/>
  <c r="HH26" i="104" s="1"/>
  <c r="B49" i="44"/>
  <c r="J49" i="44" s="1"/>
  <c r="A50" i="44"/>
  <c r="HJ24" i="104" l="1"/>
  <c r="HI25" i="104"/>
  <c r="HI26" i="104" s="1"/>
  <c r="D3" i="80"/>
  <c r="G40" i="40" s="1"/>
  <c r="D3" i="81"/>
  <c r="G34" i="40" s="1"/>
  <c r="D4" i="76"/>
  <c r="D3" i="76" s="1"/>
  <c r="G21" i="32" s="1"/>
  <c r="B50" i="44"/>
  <c r="J50" i="44" s="1"/>
  <c r="D4" i="77" s="1"/>
  <c r="D3" i="77" s="1"/>
  <c r="HK24" i="104" l="1"/>
  <c r="HJ25" i="104"/>
  <c r="HJ26" i="104" s="1"/>
  <c r="G54" i="43"/>
  <c r="G55" i="43"/>
  <c r="G57" i="67"/>
  <c r="G43" i="67"/>
  <c r="G56" i="67"/>
  <c r="G42" i="67"/>
  <c r="G40" i="67"/>
  <c r="G44" i="67"/>
  <c r="G47" i="67"/>
  <c r="G41" i="67"/>
  <c r="G55" i="40"/>
  <c r="G43" i="40"/>
  <c r="G56" i="40"/>
  <c r="G41" i="40"/>
  <c r="G42" i="40"/>
  <c r="G44" i="40"/>
  <c r="G16" i="42"/>
  <c r="G16" i="65"/>
  <c r="G45" i="43"/>
  <c r="G44" i="43"/>
  <c r="G43" i="43"/>
  <c r="G34" i="41"/>
  <c r="G13" i="43"/>
  <c r="G12" i="43"/>
  <c r="G35" i="43"/>
  <c r="G11" i="43"/>
  <c r="G10" i="43"/>
  <c r="G14" i="41"/>
  <c r="G14" i="40"/>
  <c r="G14" i="67"/>
  <c r="G34" i="67"/>
  <c r="G36" i="42"/>
  <c r="G15" i="65"/>
  <c r="G11" i="42"/>
  <c r="G13" i="65"/>
  <c r="G13" i="42"/>
  <c r="G12" i="65"/>
  <c r="G15" i="42"/>
  <c r="G35" i="65"/>
  <c r="G14" i="65"/>
  <c r="G10" i="42"/>
  <c r="G11" i="65"/>
  <c r="G14" i="42"/>
  <c r="G12" i="42"/>
  <c r="G10" i="65"/>
  <c r="A51" i="44"/>
  <c r="HL24" i="104" l="1"/>
  <c r="HK25" i="104"/>
  <c r="HK26" i="104" s="1"/>
  <c r="B51" i="44"/>
  <c r="J51" i="44" s="1"/>
  <c r="D4" i="78" s="1"/>
  <c r="D3" i="78" s="1"/>
  <c r="A52" i="44"/>
  <c r="D3" i="41"/>
  <c r="G11" i="47" s="1"/>
  <c r="H1" i="41"/>
  <c r="D3" i="40"/>
  <c r="G11" i="48" s="1"/>
  <c r="HM24" i="104" l="1"/>
  <c r="HL25" i="104"/>
  <c r="HL26" i="104" s="1"/>
  <c r="G43" i="41"/>
  <c r="G42" i="41"/>
  <c r="G40" i="41"/>
  <c r="G41" i="41"/>
  <c r="B52" i="44"/>
  <c r="J52" i="44" s="1"/>
  <c r="D4" i="102" s="1"/>
  <c r="D3" i="102" s="1"/>
  <c r="A53" i="44"/>
  <c r="B53" i="44" s="1"/>
  <c r="J53" i="44" s="1"/>
  <c r="D4" i="30" s="1"/>
  <c r="D3" i="30" s="1"/>
  <c r="H24" i="41"/>
  <c r="K1" i="41"/>
  <c r="K24" i="41" s="1"/>
  <c r="HN24" i="104" l="1"/>
  <c r="HM25" i="104"/>
  <c r="HM26" i="104" s="1"/>
  <c r="G29" i="32"/>
  <c r="G56" i="1"/>
  <c r="G55" i="1"/>
  <c r="G33" i="35"/>
  <c r="G11" i="35"/>
  <c r="L1" i="41"/>
  <c r="L24" i="41" s="1"/>
  <c r="HO24" i="104" l="1"/>
  <c r="HN25" i="104"/>
  <c r="HN26" i="104" s="1"/>
  <c r="M1" i="41"/>
  <c r="M24" i="41" s="1"/>
  <c r="HP24" i="104" l="1"/>
  <c r="HO25" i="104"/>
  <c r="HO26" i="104" s="1"/>
  <c r="N1" i="41"/>
  <c r="N24" i="41" s="1"/>
  <c r="E26" i="7"/>
  <c r="D26" i="7"/>
  <c r="E27" i="7"/>
  <c r="D27" i="7"/>
  <c r="D11" i="7"/>
  <c r="D3" i="7"/>
  <c r="I28" i="35"/>
  <c r="I33" i="35" s="1"/>
  <c r="D20" i="35"/>
  <c r="D22" i="35"/>
  <c r="D21" i="35"/>
  <c r="I21" i="35" s="1"/>
  <c r="HQ24" i="104" l="1"/>
  <c r="HP25" i="104"/>
  <c r="HP26" i="104" s="1"/>
  <c r="E41" i="73"/>
  <c r="G73" i="1"/>
  <c r="G76" i="1"/>
  <c r="G89" i="1"/>
  <c r="G86" i="1"/>
  <c r="I11" i="7"/>
  <c r="G69" i="1"/>
  <c r="O1" i="41"/>
  <c r="O24" i="41" s="1"/>
  <c r="I22" i="35"/>
  <c r="I24" i="35" s="1"/>
  <c r="G72" i="1"/>
  <c r="G71" i="1"/>
  <c r="G68" i="1"/>
  <c r="G67" i="1"/>
  <c r="G75" i="1"/>
  <c r="J28" i="35"/>
  <c r="J33" i="35" s="1"/>
  <c r="F13" i="7"/>
  <c r="F11" i="7"/>
  <c r="HR24" i="104" l="1"/>
  <c r="HQ25" i="104"/>
  <c r="HQ26" i="104" s="1"/>
  <c r="F52" i="76"/>
  <c r="I52" i="76"/>
  <c r="J52" i="76"/>
  <c r="H52" i="76"/>
  <c r="G52" i="76"/>
  <c r="R1" i="41"/>
  <c r="D101" i="7"/>
  <c r="D91" i="7"/>
  <c r="D92" i="7"/>
  <c r="D93" i="7"/>
  <c r="J77" i="7"/>
  <c r="K77" i="7"/>
  <c r="L77" i="7"/>
  <c r="M77" i="7"/>
  <c r="N77" i="7"/>
  <c r="O77" i="7"/>
  <c r="P77" i="7"/>
  <c r="Q77" i="7"/>
  <c r="R77" i="7"/>
  <c r="S77" i="7"/>
  <c r="T77" i="7"/>
  <c r="U77" i="7"/>
  <c r="V77" i="7"/>
  <c r="W77" i="7"/>
  <c r="X77" i="7"/>
  <c r="Y77" i="7"/>
  <c r="Z77" i="7"/>
  <c r="AA77" i="7"/>
  <c r="AB77" i="7"/>
  <c r="AC77" i="7"/>
  <c r="AD77" i="7"/>
  <c r="AE77" i="7"/>
  <c r="AF77" i="7"/>
  <c r="AG77" i="7"/>
  <c r="K28" i="35"/>
  <c r="K33" i="35" s="1"/>
  <c r="F14" i="7"/>
  <c r="HS24" i="104" l="1"/>
  <c r="HR25" i="104"/>
  <c r="HR26" i="104" s="1"/>
  <c r="R24" i="41"/>
  <c r="S1" i="41"/>
  <c r="L28" i="35"/>
  <c r="L33" i="35" s="1"/>
  <c r="F26" i="7"/>
  <c r="D103" i="7" s="1"/>
  <c r="F25" i="7"/>
  <c r="HT24" i="104" l="1"/>
  <c r="HS25" i="104"/>
  <c r="HS26" i="104" s="1"/>
  <c r="T1" i="41"/>
  <c r="S24" i="41"/>
  <c r="M28" i="35"/>
  <c r="M33" i="35" s="1"/>
  <c r="HU24" i="104" l="1"/>
  <c r="HT25" i="104"/>
  <c r="HT26" i="104" s="1"/>
  <c r="U1" i="41"/>
  <c r="T24" i="41"/>
  <c r="N28" i="35"/>
  <c r="N33" i="35" s="1"/>
  <c r="F27" i="7"/>
  <c r="D104" i="7" s="1"/>
  <c r="HV24" i="104" l="1"/>
  <c r="HU25" i="104"/>
  <c r="HU26" i="104" s="1"/>
  <c r="L41" i="73"/>
  <c r="V1" i="41"/>
  <c r="V24" i="41" s="1"/>
  <c r="D56" i="41" s="1"/>
  <c r="U24" i="41"/>
  <c r="D106" i="7"/>
  <c r="D108" i="7"/>
  <c r="D109" i="7"/>
  <c r="D107" i="7"/>
  <c r="O28" i="35"/>
  <c r="O33" i="35" s="1"/>
  <c r="F28" i="7"/>
  <c r="HW24" i="104" l="1"/>
  <c r="HV25" i="104"/>
  <c r="HV26" i="104" s="1"/>
  <c r="P28" i="35"/>
  <c r="P33" i="35" s="1"/>
  <c r="F29" i="7"/>
  <c r="D98" i="7" s="1"/>
  <c r="HX24" i="104" l="1"/>
  <c r="HW25" i="104"/>
  <c r="HW26" i="104" s="1"/>
  <c r="Q41" i="73"/>
  <c r="Q28" i="35"/>
  <c r="Q33" i="35" s="1"/>
  <c r="HY24" i="104" l="1"/>
  <c r="HX25" i="104"/>
  <c r="HX26" i="104" s="1"/>
  <c r="R28" i="35"/>
  <c r="R33" i="35" s="1"/>
  <c r="HZ24" i="104" l="1"/>
  <c r="HY25" i="104"/>
  <c r="HY26" i="104" s="1"/>
  <c r="S28" i="35"/>
  <c r="S33" i="35" s="1"/>
  <c r="IA24" i="104" l="1"/>
  <c r="HZ25" i="104"/>
  <c r="HZ26" i="104" s="1"/>
  <c r="T28" i="35"/>
  <c r="T33" i="35" s="1"/>
  <c r="F41" i="7"/>
  <c r="IB24" i="104" l="1"/>
  <c r="IA25" i="104"/>
  <c r="IA26" i="104" s="1"/>
  <c r="G138" i="7"/>
  <c r="U28" i="35"/>
  <c r="U33" i="35" s="1"/>
  <c r="F42" i="7"/>
  <c r="G72" i="7" s="1"/>
  <c r="IC24" i="104" l="1"/>
  <c r="IB25" i="104"/>
  <c r="IB26" i="104" s="1"/>
  <c r="Y41" i="73"/>
  <c r="D102" i="7"/>
  <c r="V28" i="35"/>
  <c r="V33" i="35" s="1"/>
  <c r="ID24" i="104" l="1"/>
  <c r="IC25" i="104"/>
  <c r="IC26" i="104" s="1"/>
  <c r="W28" i="35"/>
  <c r="W33" i="35" s="1"/>
  <c r="IE24" i="104" l="1"/>
  <c r="ID25" i="104"/>
  <c r="ID26" i="104" s="1"/>
  <c r="X28" i="35"/>
  <c r="X33" i="35" s="1"/>
  <c r="G74" i="7"/>
  <c r="IF24" i="104" l="1"/>
  <c r="IE25" i="104"/>
  <c r="IE26" i="104" s="1"/>
  <c r="Y28" i="35"/>
  <c r="Y33" i="35" s="1"/>
  <c r="IG24" i="104" l="1"/>
  <c r="IF25" i="104"/>
  <c r="IF26" i="104" s="1"/>
  <c r="Z28" i="35"/>
  <c r="Z33" i="35" s="1"/>
  <c r="IH24" i="104" l="1"/>
  <c r="IG25" i="104"/>
  <c r="IG26" i="104" s="1"/>
  <c r="AD41" i="73"/>
  <c r="AA28" i="35"/>
  <c r="AA33" i="35" s="1"/>
  <c r="II24" i="104" l="1"/>
  <c r="IH25" i="104"/>
  <c r="IH26" i="104" s="1"/>
  <c r="AB28" i="35"/>
  <c r="AB33" i="35" s="1"/>
  <c r="IJ24" i="104" l="1"/>
  <c r="II25" i="104"/>
  <c r="II26" i="104" s="1"/>
  <c r="AC28" i="35"/>
  <c r="AC33" i="35" s="1"/>
  <c r="IK24" i="104" l="1"/>
  <c r="IJ25" i="104"/>
  <c r="IJ26" i="104" s="1"/>
  <c r="AD28" i="35"/>
  <c r="AD33" i="35" s="1"/>
  <c r="IL24" i="104" l="1"/>
  <c r="IK25" i="104"/>
  <c r="IK26" i="104" s="1"/>
  <c r="AE28" i="35"/>
  <c r="AE33" i="35" s="1"/>
  <c r="IM24" i="104" l="1"/>
  <c r="IL25" i="104"/>
  <c r="IL26" i="104" s="1"/>
  <c r="AF28" i="35"/>
  <c r="AF33" i="35" s="1"/>
  <c r="IN24" i="104" l="1"/>
  <c r="IM25" i="104"/>
  <c r="IM26" i="104" s="1"/>
  <c r="AG28" i="35"/>
  <c r="AG33" i="35" s="1"/>
  <c r="IO24" i="104" l="1"/>
  <c r="IN25" i="104"/>
  <c r="IN26" i="104" s="1"/>
  <c r="AH28" i="35"/>
  <c r="AH33" i="35" s="1"/>
  <c r="IP24" i="104" l="1"/>
  <c r="IO25" i="104"/>
  <c r="IO26" i="104" s="1"/>
  <c r="AL41" i="73"/>
  <c r="AI28" i="35"/>
  <c r="AI33" i="35" s="1"/>
  <c r="IQ24" i="104" l="1"/>
  <c r="IP25" i="104"/>
  <c r="IP26" i="104" s="1"/>
  <c r="AJ28" i="35"/>
  <c r="AJ33" i="35" s="1"/>
  <c r="F69" i="7"/>
  <c r="D116" i="7" s="1"/>
  <c r="IR24" i="104" l="1"/>
  <c r="IQ25" i="104"/>
  <c r="IQ26" i="104" s="1"/>
  <c r="D80" i="73"/>
  <c r="AK28" i="35"/>
  <c r="AK33" i="35" s="1"/>
  <c r="F70" i="7"/>
  <c r="IS24" i="104" l="1"/>
  <c r="IR25" i="104"/>
  <c r="IR26" i="104" s="1"/>
  <c r="D117" i="7"/>
  <c r="AL28" i="35"/>
  <c r="AL33" i="35" s="1"/>
  <c r="IT24" i="104" l="1"/>
  <c r="IS25" i="104"/>
  <c r="IS26" i="104" s="1"/>
  <c r="AQ41" i="73"/>
  <c r="AM28" i="35"/>
  <c r="AM33" i="35" s="1"/>
  <c r="F72" i="7"/>
  <c r="G80" i="7" s="1"/>
  <c r="IU24" i="104" l="1"/>
  <c r="IT25" i="104"/>
  <c r="IT26" i="104" s="1"/>
  <c r="AN28" i="35"/>
  <c r="AN33" i="35" s="1"/>
  <c r="F74" i="7"/>
  <c r="IV24" i="104" l="1"/>
  <c r="IU25" i="104"/>
  <c r="IU26" i="104" s="1"/>
  <c r="AO28" i="35"/>
  <c r="AO33" i="35" s="1"/>
  <c r="F75" i="7"/>
  <c r="G78" i="7" s="1"/>
  <c r="IW24" i="104" l="1"/>
  <c r="IV25" i="104"/>
  <c r="IV26" i="104" s="1"/>
  <c r="D118" i="7"/>
  <c r="AP28" i="35"/>
  <c r="AP33" i="35" s="1"/>
  <c r="F80" i="7"/>
  <c r="IX24" i="104" l="1"/>
  <c r="IW25" i="104"/>
  <c r="IW26" i="104" s="1"/>
  <c r="AQ28" i="35"/>
  <c r="AQ33" i="35" s="1"/>
  <c r="F84" i="7"/>
  <c r="D120" i="7" s="1"/>
  <c r="IY24" i="104" l="1"/>
  <c r="IX25" i="104"/>
  <c r="IX26" i="104" s="1"/>
  <c r="AR28" i="35"/>
  <c r="AR33" i="35" s="1"/>
  <c r="F85" i="7"/>
  <c r="D121" i="7" s="1"/>
  <c r="IZ24" i="104" l="1"/>
  <c r="IY25" i="104"/>
  <c r="IY26" i="104" s="1"/>
  <c r="AS28" i="35"/>
  <c r="AS33" i="35" s="1"/>
  <c r="A129" i="7"/>
  <c r="F86" i="7"/>
  <c r="D122" i="7" s="1"/>
  <c r="JA24" i="104" l="1"/>
  <c r="IZ25" i="104"/>
  <c r="IZ26" i="104" s="1"/>
  <c r="AT28" i="35"/>
  <c r="AT33" i="35" s="1"/>
  <c r="F129" i="7"/>
  <c r="A130" i="7"/>
  <c r="JB24" i="104" l="1"/>
  <c r="JA25" i="104"/>
  <c r="JA26" i="104" s="1"/>
  <c r="AU28" i="35"/>
  <c r="A131" i="7"/>
  <c r="F130" i="7"/>
  <c r="JC24" i="104" l="1"/>
  <c r="JB25" i="104"/>
  <c r="JB26" i="104" s="1"/>
  <c r="AU33" i="35"/>
  <c r="AV28" i="35"/>
  <c r="G134" i="7"/>
  <c r="A134" i="7"/>
  <c r="F131" i="7"/>
  <c r="JD24" i="104" l="1"/>
  <c r="JC25" i="104"/>
  <c r="JC26" i="104" s="1"/>
  <c r="AW28" i="35"/>
  <c r="AV33" i="35"/>
  <c r="F134" i="7"/>
  <c r="A138" i="7"/>
  <c r="JE24" i="104" l="1"/>
  <c r="JD25" i="104"/>
  <c r="JD26" i="104" s="1"/>
  <c r="AX28" i="35"/>
  <c r="AW33" i="35"/>
  <c r="A139" i="7"/>
  <c r="F138" i="7"/>
  <c r="JF24" i="104" l="1"/>
  <c r="JE25" i="104"/>
  <c r="JE26" i="104" s="1"/>
  <c r="AY28" i="35"/>
  <c r="AX33" i="35"/>
  <c r="A140" i="7"/>
  <c r="F139" i="7"/>
  <c r="JG24" i="104" l="1"/>
  <c r="JF25" i="104"/>
  <c r="JF26" i="104" s="1"/>
  <c r="AZ28" i="35"/>
  <c r="AY33" i="35"/>
  <c r="A141" i="7"/>
  <c r="F140" i="7"/>
  <c r="D161" i="7" s="1"/>
  <c r="JH24" i="104" l="1"/>
  <c r="JG25" i="104"/>
  <c r="JG26" i="104" s="1"/>
  <c r="BA28" i="35"/>
  <c r="AZ33" i="35"/>
  <c r="F141" i="7"/>
  <c r="D162" i="7" s="1"/>
  <c r="A142" i="7"/>
  <c r="JI24" i="104" l="1"/>
  <c r="JH25" i="104"/>
  <c r="JH26" i="104" s="1"/>
  <c r="BB28" i="35"/>
  <c r="BA33" i="35"/>
  <c r="F142" i="7"/>
  <c r="A143" i="7"/>
  <c r="JJ24" i="104" l="1"/>
  <c r="JI25" i="104"/>
  <c r="JI26" i="104" s="1"/>
  <c r="BC28" i="35"/>
  <c r="BB33" i="35"/>
  <c r="F143" i="7"/>
  <c r="G154" i="7" s="1"/>
  <c r="A145" i="7"/>
  <c r="JK24" i="104" l="1"/>
  <c r="JJ25" i="104"/>
  <c r="JJ26" i="104" s="1"/>
  <c r="BD28" i="35"/>
  <c r="BC33" i="35"/>
  <c r="D163" i="7"/>
  <c r="G147" i="7"/>
  <c r="A146" i="7"/>
  <c r="F145" i="7"/>
  <c r="JL24" i="104" l="1"/>
  <c r="JK25" i="104"/>
  <c r="JK26" i="104" s="1"/>
  <c r="BE28" i="35"/>
  <c r="BD33" i="35"/>
  <c r="F146" i="7"/>
  <c r="D165" i="7" s="1"/>
  <c r="A147" i="7"/>
  <c r="JM24" i="104" l="1"/>
  <c r="JL25" i="104"/>
  <c r="JL26" i="104" s="1"/>
  <c r="BF28" i="35"/>
  <c r="BF33" i="35" s="1"/>
  <c r="BE33" i="35"/>
  <c r="G139" i="7"/>
  <c r="F147" i="7"/>
  <c r="D164" i="7" s="1"/>
  <c r="A148" i="7"/>
  <c r="JN24" i="104" l="1"/>
  <c r="JM25" i="104"/>
  <c r="JM26" i="104" s="1"/>
  <c r="G148" i="7"/>
  <c r="F148" i="7"/>
  <c r="A149" i="7"/>
  <c r="D3" i="35"/>
  <c r="G16" i="7" s="1"/>
  <c r="JO24" i="104" l="1"/>
  <c r="JN25" i="104"/>
  <c r="JN26" i="104" s="1"/>
  <c r="G18" i="130"/>
  <c r="G17" i="130"/>
  <c r="G16" i="130"/>
  <c r="G85" i="1"/>
  <c r="G84" i="1"/>
  <c r="G18" i="7"/>
  <c r="G17" i="7"/>
  <c r="A150" i="7"/>
  <c r="F149" i="7"/>
  <c r="D166" i="7" s="1"/>
  <c r="JP24" i="104" l="1"/>
  <c r="JO25" i="104"/>
  <c r="JO26" i="104" s="1"/>
  <c r="F150" i="7"/>
  <c r="D167" i="7" s="1"/>
  <c r="A152" i="7"/>
  <c r="JQ24" i="104" l="1"/>
  <c r="JP25" i="104"/>
  <c r="JP26" i="104" s="1"/>
  <c r="F152" i="7"/>
  <c r="A153" i="7"/>
  <c r="JR24" i="104" l="1"/>
  <c r="JQ25" i="104"/>
  <c r="JQ26" i="104" s="1"/>
  <c r="F153" i="7"/>
  <c r="A154" i="7"/>
  <c r="JS24" i="104" l="1"/>
  <c r="JR25" i="104"/>
  <c r="JR26" i="104" s="1"/>
  <c r="D169" i="7"/>
  <c r="G142" i="7"/>
  <c r="F154" i="7"/>
  <c r="G155" i="7" s="1"/>
  <c r="A155" i="7"/>
  <c r="JT24" i="104" l="1"/>
  <c r="JS25" i="104"/>
  <c r="JS26" i="104" s="1"/>
  <c r="D168" i="7"/>
  <c r="A156" i="7"/>
  <c r="F155" i="7"/>
  <c r="JU24" i="104" l="1"/>
  <c r="JT25" i="104"/>
  <c r="JT26" i="104" s="1"/>
  <c r="A157" i="7"/>
  <c r="F157" i="7" s="1"/>
  <c r="F156" i="7"/>
  <c r="D170" i="7" s="1"/>
  <c r="JV24" i="104" l="1"/>
  <c r="JU25" i="104"/>
  <c r="JU26" i="104" s="1"/>
  <c r="D171" i="7"/>
  <c r="JW24" i="104" l="1"/>
  <c r="JV25" i="104"/>
  <c r="JV26" i="104" s="1"/>
  <c r="JX24" i="104" l="1"/>
  <c r="JW25" i="104"/>
  <c r="JW26" i="104" s="1"/>
  <c r="JY24" i="104" l="1"/>
  <c r="JX25" i="104"/>
  <c r="JX26" i="104" s="1"/>
  <c r="JZ24" i="104" l="1"/>
  <c r="JY25" i="104"/>
  <c r="JY26" i="104" s="1"/>
  <c r="KA24" i="104" l="1"/>
  <c r="JZ25" i="104"/>
  <c r="JZ26" i="104" s="1"/>
  <c r="KB24" i="104" l="1"/>
  <c r="KA25" i="104"/>
  <c r="KA26" i="104" s="1"/>
  <c r="KC24" i="104" l="1"/>
  <c r="KB25" i="104"/>
  <c r="KB26" i="104" s="1"/>
  <c r="KD24" i="104" l="1"/>
  <c r="KC25" i="104"/>
  <c r="KC26" i="104" s="1"/>
  <c r="KE24" i="104" l="1"/>
  <c r="KD25" i="104"/>
  <c r="KD26" i="104" s="1"/>
  <c r="KF24" i="104" l="1"/>
  <c r="KE25" i="104"/>
  <c r="KE26" i="104" s="1"/>
  <c r="KG24" i="104" l="1"/>
  <c r="KF25" i="104"/>
  <c r="KF26" i="104" s="1"/>
  <c r="KH24" i="104" l="1"/>
  <c r="KG25" i="104"/>
  <c r="KG26" i="104" s="1"/>
  <c r="KI24" i="104" l="1"/>
  <c r="KH25" i="104"/>
  <c r="KH26" i="104" s="1"/>
  <c r="KJ24" i="104" l="1"/>
  <c r="KI25" i="104"/>
  <c r="KI26" i="104" s="1"/>
  <c r="KK24" i="104" l="1"/>
  <c r="KJ25" i="104"/>
  <c r="KJ26" i="104" s="1"/>
  <c r="KL24" i="104" l="1"/>
  <c r="KK25" i="104"/>
  <c r="KK26" i="104" s="1"/>
  <c r="D3" i="32"/>
  <c r="G42" i="130" s="1"/>
  <c r="KM24" i="104" l="1"/>
  <c r="KL25" i="104"/>
  <c r="KL26" i="104" s="1"/>
  <c r="G41" i="73"/>
  <c r="G42" i="7"/>
  <c r="KN24" i="104" l="1"/>
  <c r="KM25" i="104"/>
  <c r="KM26" i="104" s="1"/>
  <c r="D3" i="21"/>
  <c r="KO24" i="104" l="1"/>
  <c r="KN25" i="104"/>
  <c r="KN26" i="104" s="1"/>
  <c r="G25" i="104"/>
  <c r="G33" i="32"/>
  <c r="H34" i="32" s="1"/>
  <c r="G53" i="1"/>
  <c r="KP24" i="104" l="1"/>
  <c r="KO25" i="104"/>
  <c r="KO26" i="104" s="1"/>
  <c r="G46" i="73"/>
  <c r="I34" i="32"/>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14" i="11"/>
  <c r="N15" i="11"/>
  <c r="N16" i="11"/>
  <c r="N17" i="11"/>
  <c r="N18" i="11"/>
  <c r="N19" i="11"/>
  <c r="N20" i="11"/>
  <c r="N21" i="11"/>
  <c r="N22" i="11"/>
  <c r="N23" i="11"/>
  <c r="N24" i="11"/>
  <c r="N25" i="11"/>
  <c r="N26" i="11"/>
  <c r="N27" i="11"/>
  <c r="N28" i="11"/>
  <c r="N29" i="11"/>
  <c r="N30" i="11"/>
  <c r="N31" i="11"/>
  <c r="N32" i="11"/>
  <c r="N14" i="11"/>
  <c r="M15" i="11"/>
  <c r="M16" i="11"/>
  <c r="M17" i="11"/>
  <c r="M18" i="11"/>
  <c r="M19" i="11"/>
  <c r="M20" i="11"/>
  <c r="M21" i="11"/>
  <c r="M22" i="11"/>
  <c r="M14" i="11"/>
  <c r="L14" i="11"/>
  <c r="L15" i="11"/>
  <c r="L16" i="11"/>
  <c r="L17" i="11"/>
  <c r="KQ24" i="104" l="1"/>
  <c r="KP25" i="104"/>
  <c r="KP26" i="104" s="1"/>
  <c r="G47" i="73"/>
  <c r="J34" i="32"/>
  <c r="D13" i="11"/>
  <c r="D3" i="11"/>
  <c r="G44" i="130" s="1"/>
  <c r="E1" i="11"/>
  <c r="F1" i="11" s="1"/>
  <c r="D3" i="39"/>
  <c r="KR24" i="104" l="1"/>
  <c r="KQ25" i="104"/>
  <c r="KQ26" i="104" s="1"/>
  <c r="D14" i="11"/>
  <c r="D15" i="11" s="1"/>
  <c r="D16" i="11" s="1"/>
  <c r="D17" i="11" s="1"/>
  <c r="D18" i="11" s="1"/>
  <c r="D19" i="11" s="1"/>
  <c r="D20" i="11" s="1"/>
  <c r="D21" i="11" s="1"/>
  <c r="D22" i="11" s="1"/>
  <c r="D23" i="11" s="1"/>
  <c r="D24" i="11" s="1"/>
  <c r="D25" i="11" s="1"/>
  <c r="D26" i="11" s="1"/>
  <c r="D27" i="11" s="1"/>
  <c r="D28" i="11" s="1"/>
  <c r="D29" i="11" s="1"/>
  <c r="D30" i="11" s="1"/>
  <c r="I44" i="130"/>
  <c r="J44" i="130"/>
  <c r="K44" i="130"/>
  <c r="L44" i="130"/>
  <c r="M44" i="130"/>
  <c r="P44" i="130"/>
  <c r="Q44" i="130"/>
  <c r="R44" i="130"/>
  <c r="S44" i="130"/>
  <c r="T44" i="130"/>
  <c r="U44" i="130"/>
  <c r="W44" i="130"/>
  <c r="X44" i="130"/>
  <c r="Y44" i="130"/>
  <c r="Z44" i="130"/>
  <c r="AA44" i="130"/>
  <c r="G48" i="73"/>
  <c r="K34" i="32"/>
  <c r="D31" i="11"/>
  <c r="D32" i="11" s="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D63" i="11" s="1"/>
  <c r="G19" i="103"/>
  <c r="I19" i="103" s="1"/>
  <c r="F17" i="131" s="1"/>
  <c r="G20" i="103"/>
  <c r="I20" i="103" s="1"/>
  <c r="F18" i="131" s="1"/>
  <c r="G37" i="42"/>
  <c r="G36" i="43"/>
  <c r="G36" i="65"/>
  <c r="G16" i="40"/>
  <c r="G16" i="41"/>
  <c r="G15" i="41"/>
  <c r="G16" i="67"/>
  <c r="G15" i="67"/>
  <c r="G15" i="40"/>
  <c r="G44" i="7"/>
  <c r="G48" i="1"/>
  <c r="G49" i="1"/>
  <c r="G1" i="11"/>
  <c r="F9" i="11"/>
  <c r="E9" i="11"/>
  <c r="O44" i="130" l="1"/>
  <c r="V44" i="130"/>
  <c r="N44" i="130"/>
  <c r="KS24" i="104"/>
  <c r="KR25" i="104"/>
  <c r="KR26" i="104" s="1"/>
  <c r="AG44" i="130"/>
  <c r="AD44" i="130"/>
  <c r="AF44" i="130"/>
  <c r="AE44" i="130"/>
  <c r="AC44" i="130"/>
  <c r="AB44" i="130"/>
  <c r="N60" i="130"/>
  <c r="M60" i="130" s="1"/>
  <c r="G49" i="73"/>
  <c r="L34" i="32"/>
  <c r="K19" i="103"/>
  <c r="M19" i="103" s="1"/>
  <c r="K20" i="103"/>
  <c r="M20" i="103" s="1"/>
  <c r="Q39" i="49" a="1"/>
  <c r="Q39" i="49" s="1"/>
  <c r="O39" i="49" a="1"/>
  <c r="O39" i="49" s="1"/>
  <c r="M39" i="49" a="1"/>
  <c r="M39" i="49" s="1"/>
  <c r="N39" i="49" a="1"/>
  <c r="N39" i="49" s="1"/>
  <c r="P39" i="49" a="1"/>
  <c r="P39" i="49" s="1"/>
  <c r="O35" i="49" a="1"/>
  <c r="O35" i="49" s="1"/>
  <c r="M35" i="49" a="1"/>
  <c r="M35" i="49" s="1"/>
  <c r="Q35" i="49" a="1"/>
  <c r="Q35" i="49" s="1"/>
  <c r="N35" i="49" a="1"/>
  <c r="N35" i="49" s="1"/>
  <c r="K46" i="40"/>
  <c r="P35" i="49" a="1"/>
  <c r="P35" i="49" s="1"/>
  <c r="G9" i="11"/>
  <c r="H1" i="11"/>
  <c r="KT24" i="104" l="1"/>
  <c r="KS25" i="104"/>
  <c r="KS26" i="104" s="1"/>
  <c r="L69" i="130"/>
  <c r="AC69" i="130"/>
  <c r="AE69" i="130"/>
  <c r="AF69" i="130"/>
  <c r="AD69" i="130"/>
  <c r="AG69" i="130"/>
  <c r="F21" i="50" a="1"/>
  <c r="F21" i="50" s="1"/>
  <c r="X69" i="130"/>
  <c r="P69" i="130"/>
  <c r="W69" i="130"/>
  <c r="O69" i="130"/>
  <c r="Q69" i="130"/>
  <c r="V69" i="130"/>
  <c r="N69" i="130"/>
  <c r="U69" i="130"/>
  <c r="M69" i="130"/>
  <c r="Y69" i="130"/>
  <c r="AB69" i="130"/>
  <c r="T69" i="130"/>
  <c r="J69" i="130"/>
  <c r="K69" i="130"/>
  <c r="AA69" i="130"/>
  <c r="S69" i="130"/>
  <c r="Z69" i="130"/>
  <c r="R69" i="130"/>
  <c r="G50" i="73"/>
  <c r="M34" i="32"/>
  <c r="I27" i="7"/>
  <c r="I1" i="11"/>
  <c r="H9" i="11"/>
  <c r="KU24" i="104" l="1"/>
  <c r="KT25" i="104"/>
  <c r="KT26" i="104" s="1"/>
  <c r="G51" i="73"/>
  <c r="N34" i="32"/>
  <c r="I26" i="7"/>
  <c r="I20" i="35"/>
  <c r="J1" i="11"/>
  <c r="I9" i="11"/>
  <c r="KV24" i="104" l="1"/>
  <c r="KU25" i="104"/>
  <c r="KU26" i="104" s="1"/>
  <c r="G52" i="73"/>
  <c r="O34" i="32"/>
  <c r="H49" i="7"/>
  <c r="I23" i="35"/>
  <c r="J9" i="11"/>
  <c r="D69" i="11" s="1"/>
  <c r="L1" i="11"/>
  <c r="KW24" i="104" l="1"/>
  <c r="KV25" i="104"/>
  <c r="KV26" i="104" s="1"/>
  <c r="G53" i="73"/>
  <c r="P34" i="32"/>
  <c r="L9" i="11"/>
  <c r="M1" i="11"/>
  <c r="KX24" i="104" l="1"/>
  <c r="KW25" i="104"/>
  <c r="KW26" i="104" s="1"/>
  <c r="G54" i="73"/>
  <c r="Q34" i="32"/>
  <c r="N1" i="11"/>
  <c r="M9" i="11"/>
  <c r="KY24" i="104" l="1"/>
  <c r="KX25" i="104"/>
  <c r="KX26" i="104" s="1"/>
  <c r="G55" i="73"/>
  <c r="R34" i="32"/>
  <c r="O1" i="11"/>
  <c r="N9" i="11"/>
  <c r="KZ24" i="104" l="1"/>
  <c r="KY25" i="104"/>
  <c r="KY26" i="104" s="1"/>
  <c r="G56" i="73"/>
  <c r="S34" i="32"/>
  <c r="P1" i="11"/>
  <c r="O9" i="11"/>
  <c r="LA24" i="104" l="1"/>
  <c r="KZ25" i="104"/>
  <c r="KZ26" i="104" s="1"/>
  <c r="G57" i="73"/>
  <c r="T34" i="32"/>
  <c r="Q1" i="11"/>
  <c r="Q9" i="11" s="1"/>
  <c r="D70" i="11" s="1"/>
  <c r="P9" i="11"/>
  <c r="LB24" i="104" l="1"/>
  <c r="LA25" i="104"/>
  <c r="LA26" i="104" s="1"/>
  <c r="G58" i="73"/>
  <c r="U34" i="32"/>
  <c r="E46" i="1"/>
  <c r="LC24" i="104" l="1"/>
  <c r="LB25" i="104"/>
  <c r="LB26" i="104" s="1"/>
  <c r="G59" i="73"/>
  <c r="V34" i="32"/>
  <c r="F18" i="1"/>
  <c r="D3" i="1"/>
  <c r="G13" i="47" l="1"/>
  <c r="G12" i="47"/>
  <c r="LD24" i="104"/>
  <c r="LC25" i="104"/>
  <c r="LC26" i="104" s="1"/>
  <c r="G13" i="68"/>
  <c r="G25" i="47"/>
  <c r="G19" i="48"/>
  <c r="G16" i="47"/>
  <c r="G19" i="68"/>
  <c r="G19" i="47"/>
  <c r="G16" i="68"/>
  <c r="G27" i="47"/>
  <c r="G26" i="68"/>
  <c r="G26" i="48"/>
  <c r="G25" i="68"/>
  <c r="G26" i="47"/>
  <c r="G12" i="68"/>
  <c r="G25" i="48"/>
  <c r="G21" i="43"/>
  <c r="G16" i="48"/>
  <c r="G13" i="48"/>
  <c r="G12" i="48"/>
  <c r="G11" i="104"/>
  <c r="D35" i="132"/>
  <c r="I129" i="130"/>
  <c r="G29" i="130"/>
  <c r="G12" i="130"/>
  <c r="G28" i="130"/>
  <c r="G129" i="130"/>
  <c r="G31" i="130"/>
  <c r="G26" i="130"/>
  <c r="G11" i="130"/>
  <c r="G131" i="130"/>
  <c r="G14" i="130"/>
  <c r="I131" i="130"/>
  <c r="G30" i="130"/>
  <c r="G25" i="130"/>
  <c r="I130" i="130"/>
  <c r="I134" i="130" s="1"/>
  <c r="G27" i="130"/>
  <c r="G13" i="130"/>
  <c r="G8" i="130"/>
  <c r="G130" i="130"/>
  <c r="G60" i="73"/>
  <c r="W34" i="32"/>
  <c r="G14" i="56"/>
  <c r="G8" i="35"/>
  <c r="G12" i="56"/>
  <c r="G15" i="32"/>
  <c r="G14" i="104"/>
  <c r="G20" i="32"/>
  <c r="G10" i="56"/>
  <c r="G19" i="32"/>
  <c r="G9" i="56"/>
  <c r="G8" i="56"/>
  <c r="G11" i="41"/>
  <c r="G11" i="67"/>
  <c r="G11" i="40"/>
  <c r="D97" i="1"/>
  <c r="G12" i="7"/>
  <c r="I131" i="7"/>
  <c r="I130" i="7"/>
  <c r="I129" i="7"/>
  <c r="G15" i="35"/>
  <c r="G10" i="67"/>
  <c r="G7" i="65"/>
  <c r="G7" i="67"/>
  <c r="G31" i="7"/>
  <c r="G30" i="7"/>
  <c r="G27" i="7"/>
  <c r="G8" i="7"/>
  <c r="G12" i="32"/>
  <c r="G10" i="41"/>
  <c r="G10" i="35"/>
  <c r="G10" i="40"/>
  <c r="G7" i="41"/>
  <c r="G9" i="35"/>
  <c r="G8" i="32"/>
  <c r="G9" i="32"/>
  <c r="G13" i="7"/>
  <c r="G14" i="7"/>
  <c r="G131" i="7"/>
  <c r="G130" i="7"/>
  <c r="G129" i="7"/>
  <c r="G25" i="7"/>
  <c r="I36" i="35"/>
  <c r="G29" i="7"/>
  <c r="G28" i="7"/>
  <c r="AT44" i="7"/>
  <c r="G7" i="43"/>
  <c r="G7" i="42"/>
  <c r="G7" i="40"/>
  <c r="G26" i="7"/>
  <c r="G11" i="7"/>
  <c r="G22" i="35"/>
  <c r="G21" i="35"/>
  <c r="G14" i="35"/>
  <c r="G20" i="35"/>
  <c r="LE24" i="104" l="1"/>
  <c r="LD25" i="104"/>
  <c r="LD26" i="104" s="1"/>
  <c r="G61" i="73"/>
  <c r="X34" i="32"/>
  <c r="O44" i="7"/>
  <c r="Z44" i="7"/>
  <c r="S44" i="7"/>
  <c r="AC44" i="7"/>
  <c r="U44" i="7"/>
  <c r="N44" i="7"/>
  <c r="T44" i="7"/>
  <c r="P44" i="7"/>
  <c r="AB44" i="7"/>
  <c r="AA44" i="7"/>
  <c r="R44" i="7"/>
  <c r="Y44" i="7"/>
  <c r="AG44" i="7"/>
  <c r="I44" i="7"/>
  <c r="M44" i="7"/>
  <c r="AF44" i="7"/>
  <c r="L44" i="7"/>
  <c r="AE44" i="7"/>
  <c r="K44" i="7"/>
  <c r="Q44" i="7"/>
  <c r="AD44" i="7"/>
  <c r="J44" i="7"/>
  <c r="X44" i="7"/>
  <c r="W44" i="7"/>
  <c r="V44" i="7"/>
  <c r="I134" i="7"/>
  <c r="LF24" i="104" l="1"/>
  <c r="LE25" i="104"/>
  <c r="LE26" i="104" s="1"/>
  <c r="G62" i="73"/>
  <c r="Y34" i="32"/>
  <c r="LG24" i="104" l="1"/>
  <c r="LF25" i="104"/>
  <c r="LF26" i="104" s="1"/>
  <c r="G63" i="73"/>
  <c r="Z34" i="32"/>
  <c r="LH24" i="104" l="1"/>
  <c r="LG25" i="104"/>
  <c r="LG26" i="104" s="1"/>
  <c r="G64" i="73"/>
  <c r="AA34" i="32"/>
  <c r="LI24" i="104" l="1"/>
  <c r="LH25" i="104"/>
  <c r="LH26" i="104" s="1"/>
  <c r="G65" i="73"/>
  <c r="AB34" i="32"/>
  <c r="LJ24" i="104" l="1"/>
  <c r="LI25" i="104"/>
  <c r="LI26" i="104" s="1"/>
  <c r="G66" i="73"/>
  <c r="AC34" i="32"/>
  <c r="LK24" i="104" l="1"/>
  <c r="LJ25" i="104"/>
  <c r="LJ26" i="104" s="1"/>
  <c r="G67" i="73"/>
  <c r="AD34" i="32"/>
  <c r="LL24" i="104" l="1"/>
  <c r="LK25" i="104"/>
  <c r="LK26" i="104" s="1"/>
  <c r="G68" i="73"/>
  <c r="AE34" i="32"/>
  <c r="LM24" i="104" l="1"/>
  <c r="LL25" i="104"/>
  <c r="LL26" i="104" s="1"/>
  <c r="G69" i="73"/>
  <c r="AF34" i="32"/>
  <c r="LN24" i="104" l="1"/>
  <c r="LM25" i="104"/>
  <c r="LM26" i="104" s="1"/>
  <c r="G70" i="73"/>
  <c r="AG34" i="32"/>
  <c r="LO24" i="104" l="1"/>
  <c r="LN25" i="104"/>
  <c r="LN26" i="104" s="1"/>
  <c r="G71" i="73"/>
  <c r="AH34" i="32"/>
  <c r="LP24" i="104" l="1"/>
  <c r="LO25" i="104"/>
  <c r="LO26" i="104" s="1"/>
  <c r="G72" i="73"/>
  <c r="LQ24" i="104" l="1"/>
  <c r="LP25" i="104"/>
  <c r="LP26" i="104" s="1"/>
  <c r="LR24" i="104" l="1"/>
  <c r="LQ25" i="104"/>
  <c r="LQ26" i="104" s="1"/>
  <c r="F7" i="42"/>
  <c r="LS24" i="104" l="1"/>
  <c r="LR25" i="104"/>
  <c r="LR26" i="104" s="1"/>
  <c r="F14" i="40"/>
  <c r="LT24" i="104" l="1"/>
  <c r="LS25" i="104"/>
  <c r="LS26" i="104" s="1"/>
  <c r="F37" i="40"/>
  <c r="G47" i="40" s="1"/>
  <c r="LU24" i="104" l="1"/>
  <c r="LT25" i="104"/>
  <c r="LT26" i="104" s="1"/>
  <c r="G45" i="40"/>
  <c r="A50" i="40"/>
  <c r="A51" i="40" s="1"/>
  <c r="LV24" i="104" l="1"/>
  <c r="LU25" i="104"/>
  <c r="LU26" i="104" s="1"/>
  <c r="A55" i="40"/>
  <c r="A56" i="40" s="1"/>
  <c r="F50" i="40"/>
  <c r="G51" i="40" s="1"/>
  <c r="F51" i="40"/>
  <c r="LW24" i="104" l="1"/>
  <c r="LV25" i="104"/>
  <c r="LV26" i="104" s="1"/>
  <c r="F55" i="40"/>
  <c r="F56" i="40"/>
  <c r="LX24" i="104" l="1"/>
  <c r="LW25" i="104"/>
  <c r="LW26" i="104" s="1"/>
  <c r="F14" i="41"/>
  <c r="LY24" i="104" l="1"/>
  <c r="LX25" i="104"/>
  <c r="LX26" i="104" s="1"/>
  <c r="F37" i="41"/>
  <c r="G46" i="41" s="1"/>
  <c r="LZ24" i="104" l="1"/>
  <c r="LY25" i="104"/>
  <c r="LY26" i="104" s="1"/>
  <c r="G44" i="41"/>
  <c r="F40" i="41"/>
  <c r="LW27" i="104" l="1"/>
  <c r="MA24" i="104"/>
  <c r="LX27" i="104" s="1"/>
  <c r="LZ25" i="104"/>
  <c r="LZ26" i="104" s="1"/>
  <c r="LZ27" i="104" s="1"/>
  <c r="F14" i="35"/>
  <c r="F11" i="35"/>
  <c r="LY27" i="104" l="1"/>
  <c r="LV27" i="104"/>
  <c r="MB24" i="104"/>
  <c r="MA25" i="104"/>
  <c r="MA26" i="104" s="1"/>
  <c r="MA27" i="104" s="1"/>
  <c r="F16" i="35"/>
  <c r="D49" i="35" s="1"/>
  <c r="MC24" i="104" l="1"/>
  <c r="MB25" i="104"/>
  <c r="MB26" i="104" s="1"/>
  <c r="MB27" i="104" s="1"/>
  <c r="F21" i="35"/>
  <c r="MD24" i="104" l="1"/>
  <c r="MC25" i="104"/>
  <c r="MC26" i="104" s="1"/>
  <c r="MC27" i="104" s="1"/>
  <c r="F22" i="35"/>
  <c r="F23" i="35"/>
  <c r="D50" i="35" s="1"/>
  <c r="ME24" i="104" l="1"/>
  <c r="MD25" i="104"/>
  <c r="MD26" i="104" s="1"/>
  <c r="MD27" i="104" s="1"/>
  <c r="F24" i="35"/>
  <c r="F28" i="35"/>
  <c r="MF24" i="104" l="1"/>
  <c r="ME25" i="104"/>
  <c r="ME26" i="104" s="1"/>
  <c r="ME27" i="104" s="1"/>
  <c r="D52" i="35"/>
  <c r="D51" i="35"/>
  <c r="MG24" i="104" l="1"/>
  <c r="MF25" i="104"/>
  <c r="MF26" i="104" s="1"/>
  <c r="MF27" i="104" s="1"/>
  <c r="F33" i="35"/>
  <c r="MH24" i="104" l="1"/>
  <c r="MG25" i="104"/>
  <c r="MG26" i="104" s="1"/>
  <c r="MG27" i="104" s="1"/>
  <c r="G35" i="35"/>
  <c r="G34" i="35"/>
  <c r="F34" i="35"/>
  <c r="MI24" i="104" l="1"/>
  <c r="MH25" i="104"/>
  <c r="MH26" i="104" s="1"/>
  <c r="MH27" i="104" s="1"/>
  <c r="G42" i="35"/>
  <c r="F35" i="35"/>
  <c r="D55" i="35" s="1"/>
  <c r="MJ24" i="104" l="1"/>
  <c r="MI25" i="104"/>
  <c r="MI26" i="104" s="1"/>
  <c r="MI27" i="104" s="1"/>
  <c r="F38" i="35"/>
  <c r="D54" i="35" s="1"/>
  <c r="MK24" i="104" l="1"/>
  <c r="MJ25" i="104"/>
  <c r="MJ26" i="104" s="1"/>
  <c r="MJ27" i="104" s="1"/>
  <c r="F42" i="35"/>
  <c r="D56" i="35"/>
  <c r="ML24" i="104" l="1"/>
  <c r="MK25" i="104"/>
  <c r="MK26" i="104" s="1"/>
  <c r="MK27" i="104" s="1"/>
  <c r="F43" i="35"/>
  <c r="D57" i="35" s="1"/>
  <c r="F44" i="35"/>
  <c r="MM24" i="104" l="1"/>
  <c r="ML25" i="104"/>
  <c r="ML26" i="104" s="1"/>
  <c r="ML27" i="104" s="1"/>
  <c r="H29" i="68"/>
  <c r="MN24" i="104" l="1"/>
  <c r="MM25" i="104"/>
  <c r="MM26" i="104" s="1"/>
  <c r="MM27" i="104" s="1"/>
  <c r="H30" i="68"/>
  <c r="MO24" i="104" l="1"/>
  <c r="MN25" i="104"/>
  <c r="MN26" i="104" s="1"/>
  <c r="MN27" i="104" s="1"/>
  <c r="A35" i="43"/>
  <c r="A36" i="43" s="1"/>
  <c r="F36" i="43" s="1"/>
  <c r="MP24" i="104" l="1"/>
  <c r="MO25" i="104"/>
  <c r="MO26" i="104" s="1"/>
  <c r="MO27" i="104" s="1"/>
  <c r="A42" i="43"/>
  <c r="A43" i="43" s="1"/>
  <c r="F35" i="43"/>
  <c r="MQ24" i="104" l="1"/>
  <c r="MP25" i="104"/>
  <c r="MP26" i="104" s="1"/>
  <c r="MP27" i="104" s="1"/>
  <c r="F42" i="43"/>
  <c r="A44" i="43"/>
  <c r="F43" i="43"/>
  <c r="MR24" i="104" l="1"/>
  <c r="MQ25" i="104"/>
  <c r="MQ26" i="104" s="1"/>
  <c r="MQ27" i="104" s="1"/>
  <c r="D70" i="43"/>
  <c r="D69" i="43"/>
  <c r="G53" i="43"/>
  <c r="G46" i="43"/>
  <c r="A45" i="43"/>
  <c r="F44" i="43"/>
  <c r="MS24" i="104" l="1"/>
  <c r="MR25" i="104"/>
  <c r="MR26" i="104" s="1"/>
  <c r="MR27" i="104" s="1"/>
  <c r="A46" i="43"/>
  <c r="A47" i="43" s="1"/>
  <c r="A51" i="43" s="1"/>
  <c r="A52" i="43" s="1"/>
  <c r="A53" i="43" s="1"/>
  <c r="A54" i="43" s="1"/>
  <c r="A55" i="43" s="1"/>
  <c r="A56" i="43" s="1"/>
  <c r="A57" i="43" s="1"/>
  <c r="F45" i="43"/>
  <c r="MT24" i="104" l="1"/>
  <c r="MS25" i="104"/>
  <c r="MS26" i="104" s="1"/>
  <c r="MS27" i="104" s="1"/>
  <c r="F54" i="43"/>
  <c r="F46" i="43"/>
  <c r="G47" i="43" s="1"/>
  <c r="MU24" i="104" l="1"/>
  <c r="MT25" i="104"/>
  <c r="MT26" i="104" s="1"/>
  <c r="MT27" i="104" s="1"/>
  <c r="F55" i="43"/>
  <c r="D71" i="43" s="1"/>
  <c r="F47" i="43"/>
  <c r="MV24" i="104" l="1"/>
  <c r="MU25" i="104"/>
  <c r="MU26" i="104" s="1"/>
  <c r="MU27" i="104" s="1"/>
  <c r="G51" i="43"/>
  <c r="G52" i="43"/>
  <c r="F51" i="43"/>
  <c r="G56" i="43" s="1"/>
  <c r="MW24" i="104" l="1"/>
  <c r="MV25" i="104"/>
  <c r="MV26" i="104" s="1"/>
  <c r="MV27" i="104" s="1"/>
  <c r="F52" i="43"/>
  <c r="MX24" i="104" l="1"/>
  <c r="MW25" i="104"/>
  <c r="MW26" i="104" s="1"/>
  <c r="MW27" i="104" s="1"/>
  <c r="F53" i="43"/>
  <c r="MY24" i="104" l="1"/>
  <c r="MX25" i="104"/>
  <c r="MX26" i="104" s="1"/>
  <c r="MX27" i="104" s="1"/>
  <c r="A19" i="42"/>
  <c r="MZ24" i="104" l="1"/>
  <c r="MY25" i="104"/>
  <c r="MY26" i="104" s="1"/>
  <c r="MY27" i="104" s="1"/>
  <c r="A20" i="42"/>
  <c r="F19" i="42"/>
  <c r="NA24" i="104" l="1"/>
  <c r="MZ25" i="104"/>
  <c r="MZ26" i="104" s="1"/>
  <c r="MZ27" i="104" s="1"/>
  <c r="A21" i="42"/>
  <c r="F21" i="42" s="1"/>
  <c r="F20" i="42"/>
  <c r="NB24" i="104" l="1"/>
  <c r="NA25" i="104"/>
  <c r="NA26" i="104" s="1"/>
  <c r="NA27" i="104" s="1"/>
  <c r="D81" i="42"/>
  <c r="NC24" i="104" l="1"/>
  <c r="NB25" i="104"/>
  <c r="NB26" i="104" s="1"/>
  <c r="NB27" i="104" s="1"/>
  <c r="LN27" i="104" l="1"/>
  <c r="LM27" i="104"/>
  <c r="LK27" i="104"/>
  <c r="LL27" i="104"/>
  <c r="LJ27" i="104"/>
  <c r="LO27" i="104"/>
  <c r="LQ27" i="104"/>
  <c r="LP27" i="104"/>
  <c r="LS27" i="104"/>
  <c r="LU27" i="104"/>
  <c r="LR27" i="104"/>
  <c r="LT27" i="104"/>
  <c r="JR27" i="104"/>
  <c r="JT27" i="104"/>
  <c r="JN27" i="104"/>
  <c r="JP27" i="104"/>
  <c r="JQ27" i="104"/>
  <c r="JS27" i="104"/>
  <c r="JO27" i="104"/>
  <c r="JW27" i="104"/>
  <c r="JU27" i="104"/>
  <c r="JV27" i="104"/>
  <c r="JY27" i="104"/>
  <c r="JX27" i="104"/>
  <c r="KA27" i="104"/>
  <c r="JZ27" i="104"/>
  <c r="KC27" i="104"/>
  <c r="KB27" i="104"/>
  <c r="KD27" i="104"/>
  <c r="KE27" i="104"/>
  <c r="KG27" i="104"/>
  <c r="KF27" i="104"/>
  <c r="KI27" i="104"/>
  <c r="KH27" i="104"/>
  <c r="KJ27" i="104"/>
  <c r="KK27" i="104"/>
  <c r="KM27" i="104"/>
  <c r="KL27" i="104"/>
  <c r="KP27" i="104"/>
  <c r="KN27" i="104"/>
  <c r="KO27" i="104"/>
  <c r="KS27" i="104"/>
  <c r="KQ27" i="104"/>
  <c r="KR27" i="104"/>
  <c r="KT27" i="104"/>
  <c r="KU27" i="104"/>
  <c r="KV27" i="104"/>
  <c r="KX27" i="104"/>
  <c r="KW27" i="104"/>
  <c r="LA27" i="104"/>
  <c r="KY27" i="104"/>
  <c r="KZ27" i="104"/>
  <c r="LC27" i="104"/>
  <c r="LB27" i="104"/>
  <c r="LD27" i="104"/>
  <c r="LE27" i="104"/>
  <c r="LF27" i="104"/>
  <c r="LG27" i="104"/>
  <c r="LH27" i="104"/>
  <c r="LI27" i="104"/>
  <c r="JF27" i="104"/>
  <c r="JH27" i="104"/>
  <c r="JA27" i="104"/>
  <c r="JG27" i="104"/>
  <c r="JD27" i="104"/>
  <c r="JE27" i="104"/>
  <c r="JC27" i="104"/>
  <c r="JJ27" i="104"/>
  <c r="JK27" i="104"/>
  <c r="JI27" i="104"/>
  <c r="JM27" i="104"/>
  <c r="JL27" i="104"/>
  <c r="AE27" i="104"/>
  <c r="BC27" i="104"/>
  <c r="AP27" i="104"/>
  <c r="AC27" i="104"/>
  <c r="BK27" i="104"/>
  <c r="CN27" i="104"/>
  <c r="DJ27" i="104"/>
  <c r="DV27" i="104"/>
  <c r="BO27" i="104"/>
  <c r="BJ27" i="104"/>
  <c r="CW27" i="104"/>
  <c r="BT27" i="104"/>
  <c r="BP27" i="104"/>
  <c r="BB27" i="104"/>
  <c r="DI27" i="104"/>
  <c r="EM27" i="104"/>
  <c r="EK27" i="104"/>
  <c r="DC27" i="104"/>
  <c r="DZ27" i="104"/>
  <c r="BW27" i="104"/>
  <c r="DD27" i="104"/>
  <c r="Y27" i="104"/>
  <c r="AY27" i="104"/>
  <c r="AT27" i="104"/>
  <c r="CU27" i="104"/>
  <c r="BD27" i="104"/>
  <c r="DB27" i="104"/>
  <c r="AW27" i="104"/>
  <c r="EF27" i="104"/>
  <c r="AD27" i="104"/>
  <c r="AN27" i="104"/>
  <c r="AZ27" i="104"/>
  <c r="EO27" i="104"/>
  <c r="ED27" i="104"/>
  <c r="BY27" i="104"/>
  <c r="X27" i="104"/>
  <c r="CF27" i="104"/>
  <c r="EG27" i="104"/>
  <c r="AI27" i="104"/>
  <c r="Z27" i="104"/>
  <c r="CE27" i="104"/>
  <c r="AX27" i="104"/>
  <c r="AM27" i="104"/>
  <c r="CX27" i="104"/>
  <c r="BV27" i="104"/>
  <c r="CR27" i="104"/>
  <c r="DF27" i="104"/>
  <c r="EI27" i="104"/>
  <c r="EJ27" i="104"/>
  <c r="BU27" i="104"/>
  <c r="DE27" i="104"/>
  <c r="CV27" i="104"/>
  <c r="AQ27" i="104"/>
  <c r="CS27" i="104"/>
  <c r="BM27" i="104"/>
  <c r="AA27" i="104"/>
  <c r="AL27" i="104"/>
  <c r="BR27" i="104"/>
  <c r="BN27" i="104"/>
  <c r="DY27" i="104"/>
  <c r="DN27" i="104"/>
  <c r="AB27" i="104"/>
  <c r="DQ27" i="104"/>
  <c r="AU27" i="104"/>
  <c r="CG27" i="104"/>
  <c r="CM27" i="104"/>
  <c r="CJ27" i="104"/>
  <c r="BI27" i="104"/>
  <c r="AH27" i="104"/>
  <c r="EH27" i="104"/>
  <c r="CP27" i="104"/>
  <c r="DA27" i="104"/>
  <c r="CO27" i="104"/>
  <c r="DX27" i="104"/>
  <c r="EA27" i="104"/>
  <c r="BS27" i="104"/>
  <c r="BG27" i="104"/>
  <c r="AS27" i="104"/>
  <c r="DH27" i="104"/>
  <c r="DS27" i="104"/>
  <c r="BZ27" i="104"/>
  <c r="CD27" i="104"/>
  <c r="AO27" i="104"/>
  <c r="CI27" i="104"/>
  <c r="AV27" i="104"/>
  <c r="CH27" i="104"/>
  <c r="CQ27" i="104"/>
  <c r="CY27" i="104"/>
  <c r="DR27" i="104"/>
  <c r="CT27" i="104"/>
  <c r="BX27" i="104"/>
  <c r="AK27" i="104"/>
  <c r="CB27" i="104"/>
  <c r="AF27" i="104"/>
  <c r="AR27" i="104"/>
  <c r="EB27" i="104"/>
  <c r="DO27" i="104"/>
  <c r="AG27" i="104"/>
  <c r="EC27" i="104"/>
  <c r="AJ27" i="104"/>
  <c r="BE27" i="104"/>
  <c r="BA27" i="104"/>
  <c r="CL27" i="104"/>
  <c r="ER27" i="104"/>
  <c r="BQ27" i="104"/>
  <c r="EL27" i="104"/>
  <c r="EN27" i="104"/>
  <c r="DP27" i="104"/>
  <c r="BL27" i="104"/>
  <c r="EQ27" i="104"/>
  <c r="DT27" i="104"/>
  <c r="DM27" i="104"/>
  <c r="EP27" i="104"/>
  <c r="BF27" i="104"/>
  <c r="CC27" i="104"/>
  <c r="DU27" i="104"/>
  <c r="BH27" i="104"/>
  <c r="DL27" i="104"/>
  <c r="CA27" i="104"/>
  <c r="CZ27" i="104"/>
  <c r="DG27" i="104"/>
  <c r="CK27" i="104"/>
  <c r="DK27" i="104"/>
  <c r="DW27" i="104"/>
  <c r="EE27" i="104"/>
  <c r="ET27" i="104"/>
  <c r="ES27" i="104"/>
  <c r="EU27" i="104"/>
  <c r="EY27" i="104"/>
  <c r="EV27" i="104"/>
  <c r="EW27" i="104"/>
  <c r="FA27" i="104"/>
  <c r="EX27" i="104"/>
  <c r="EZ27" i="104"/>
  <c r="FC27" i="104"/>
  <c r="FB27" i="104"/>
  <c r="FD27" i="104"/>
  <c r="FG27" i="104"/>
  <c r="FE27" i="104"/>
  <c r="FF27" i="104"/>
  <c r="FH27" i="104"/>
  <c r="FK27" i="104"/>
  <c r="FJ27" i="104"/>
  <c r="FI27" i="104"/>
  <c r="FL27" i="104"/>
  <c r="FM27" i="104"/>
  <c r="FQ27" i="104"/>
  <c r="FN27" i="104"/>
  <c r="FO27" i="104"/>
  <c r="FP27" i="104"/>
  <c r="FR27" i="104"/>
  <c r="FS27" i="104"/>
  <c r="FV27" i="104"/>
  <c r="FT27" i="104"/>
  <c r="FU27" i="104"/>
  <c r="FX27" i="104"/>
  <c r="FW27" i="104"/>
  <c r="FY27" i="104"/>
  <c r="FZ27" i="104"/>
  <c r="GC27" i="104"/>
  <c r="GB27" i="104"/>
  <c r="GA27" i="104"/>
  <c r="GE27" i="104"/>
  <c r="GD27" i="104"/>
  <c r="GH27" i="104"/>
  <c r="GF27" i="104"/>
  <c r="GI27" i="104"/>
  <c r="GG27" i="104"/>
  <c r="GK27" i="104"/>
  <c r="GL27" i="104"/>
  <c r="GJ27" i="104"/>
  <c r="GM27" i="104"/>
  <c r="GN27" i="104"/>
  <c r="GO27" i="104"/>
  <c r="GR27" i="104"/>
  <c r="GP27" i="104"/>
  <c r="GQ27" i="104"/>
  <c r="GS27" i="104"/>
  <c r="GU27" i="104"/>
  <c r="GT27" i="104"/>
  <c r="GV27" i="104"/>
  <c r="GX27" i="104"/>
  <c r="GW27" i="104"/>
  <c r="GY27" i="104"/>
  <c r="GZ27" i="104"/>
  <c r="HC27" i="104"/>
  <c r="HA27" i="104"/>
  <c r="HB27" i="104"/>
  <c r="HD27" i="104"/>
  <c r="HF27" i="104"/>
  <c r="HE27" i="104"/>
  <c r="HG27" i="104"/>
  <c r="HI27" i="104"/>
  <c r="HH27" i="104"/>
  <c r="HJ27" i="104"/>
  <c r="HK27" i="104"/>
  <c r="HL27" i="104"/>
  <c r="HM27" i="104"/>
  <c r="HP27" i="104"/>
  <c r="HN27" i="104"/>
  <c r="HO27" i="104"/>
  <c r="HQ27" i="104"/>
  <c r="HS27" i="104"/>
  <c r="HR27" i="104"/>
  <c r="HV27" i="104"/>
  <c r="HT27" i="104"/>
  <c r="HU27" i="104"/>
  <c r="HX27" i="104"/>
  <c r="HW27" i="104"/>
  <c r="IA27" i="104"/>
  <c r="HY27" i="104"/>
  <c r="HZ27" i="104"/>
  <c r="IB27" i="104"/>
  <c r="IE27" i="104"/>
  <c r="IC27" i="104"/>
  <c r="ID27" i="104"/>
  <c r="IH27" i="104"/>
  <c r="IF27" i="104"/>
  <c r="IG27" i="104"/>
  <c r="II27" i="104"/>
  <c r="IK27" i="104"/>
  <c r="IJ27" i="104"/>
  <c r="IL27" i="104"/>
  <c r="IM27" i="104"/>
  <c r="IP27" i="104"/>
  <c r="IN27" i="104"/>
  <c r="IO27" i="104"/>
  <c r="IQ27" i="104"/>
  <c r="IT27" i="104"/>
  <c r="IR27" i="104"/>
  <c r="IS27" i="104"/>
  <c r="IW27" i="104"/>
  <c r="IU27" i="104"/>
  <c r="IV27" i="104"/>
  <c r="IX27" i="104"/>
  <c r="IY27" i="104"/>
  <c r="IZ27" i="104"/>
  <c r="JB27" i="104"/>
  <c r="H19" i="104"/>
  <c r="H20" i="42" s="1"/>
  <c r="J18" i="104"/>
  <c r="H16" i="43" s="1"/>
  <c r="H20" i="43" s="1"/>
  <c r="J19" i="104"/>
  <c r="H17" i="43" s="1"/>
  <c r="I20" i="104"/>
  <c r="H20" i="104"/>
  <c r="J20" i="104"/>
  <c r="H27" i="104"/>
  <c r="J27" i="104"/>
  <c r="O27" i="104"/>
  <c r="N27" i="104"/>
  <c r="Q27" i="104"/>
  <c r="R27" i="104"/>
  <c r="S27" i="104"/>
  <c r="P27" i="104"/>
  <c r="L27" i="104"/>
  <c r="K27" i="104"/>
  <c r="M27" i="104"/>
  <c r="I27" i="104"/>
  <c r="U27" i="104"/>
  <c r="T27" i="104"/>
  <c r="V27" i="104"/>
  <c r="W27" i="104"/>
  <c r="NC25" i="104"/>
  <c r="NC26" i="104" s="1"/>
  <c r="NC27" i="104" s="1"/>
  <c r="I29" i="46" l="1"/>
  <c r="I26" i="46" s="1"/>
  <c r="I32" i="46" s="1"/>
  <c r="J29" i="46"/>
  <c r="J26" i="46" s="1"/>
  <c r="J32" i="46" s="1"/>
  <c r="G29" i="46"/>
  <c r="G26" i="46" s="1"/>
  <c r="G32" i="46" s="1"/>
  <c r="H29" i="46"/>
  <c r="H26" i="46" s="1"/>
  <c r="H32" i="46" s="1"/>
  <c r="F29" i="46"/>
  <c r="F26" i="46" s="1"/>
  <c r="F32" i="46" s="1"/>
  <c r="H19" i="41"/>
  <c r="H18" i="43"/>
  <c r="H21" i="42"/>
  <c r="H19" i="40"/>
  <c r="H21" i="65"/>
  <c r="H22" i="32"/>
  <c r="H19" i="67"/>
  <c r="H55" i="43"/>
  <c r="H54" i="43"/>
  <c r="H45" i="43"/>
  <c r="H44" i="43"/>
  <c r="H43" i="43"/>
  <c r="H42" i="43"/>
  <c r="H66" i="42"/>
  <c r="H51" i="42"/>
  <c r="H67" i="42"/>
  <c r="H49" i="42"/>
  <c r="H65" i="42"/>
  <c r="H50" i="42"/>
  <c r="I18" i="104"/>
  <c r="H19" i="65" s="1"/>
  <c r="H41" i="65" s="1"/>
  <c r="I19" i="104"/>
  <c r="H20" i="65" s="1"/>
  <c r="H70" i="65" s="1"/>
  <c r="H18" i="104"/>
  <c r="H19" i="42" s="1"/>
  <c r="H42" i="42" s="1"/>
  <c r="F67" i="65"/>
  <c r="F65" i="65"/>
  <c r="F68" i="65"/>
  <c r="G69" i="65" s="1"/>
  <c r="F72" i="65"/>
  <c r="G76" i="65" s="1"/>
  <c r="A76" i="65"/>
  <c r="A77" i="65" s="1"/>
  <c r="F77" i="65" s="1"/>
  <c r="F66" i="65"/>
  <c r="G27" i="50" l="1"/>
  <c r="F27" i="50"/>
  <c r="I27" i="50"/>
  <c r="H27" i="50"/>
  <c r="J27" i="50"/>
  <c r="K39" i="32"/>
  <c r="S39" i="32"/>
  <c r="AA39" i="32"/>
  <c r="Q39" i="32"/>
  <c r="Z39" i="32"/>
  <c r="L39" i="32"/>
  <c r="T39" i="32"/>
  <c r="O39" i="32"/>
  <c r="M39" i="32"/>
  <c r="U39" i="32"/>
  <c r="X39" i="32"/>
  <c r="Y39" i="32"/>
  <c r="N39" i="32"/>
  <c r="V39" i="32"/>
  <c r="W39" i="32"/>
  <c r="P39" i="32"/>
  <c r="J39" i="32"/>
  <c r="I39" i="32"/>
  <c r="H39" i="32"/>
  <c r="R39" i="32"/>
  <c r="H42" i="65"/>
  <c r="H49" i="65"/>
  <c r="H66" i="65"/>
  <c r="R66" i="65" s="1"/>
  <c r="M39" i="69" s="1" a="1"/>
  <c r="M39" i="69" s="1"/>
  <c r="S67" i="42"/>
  <c r="N38" i="49" s="1" a="1"/>
  <c r="N38" i="49" s="1"/>
  <c r="E38" i="49"/>
  <c r="R67" i="42"/>
  <c r="M38" i="49" s="1" a="1"/>
  <c r="M38" i="49" s="1"/>
  <c r="V67" i="42"/>
  <c r="Q38" i="49" s="1" a="1"/>
  <c r="Q38" i="49" s="1"/>
  <c r="U67" i="42"/>
  <c r="P38" i="49" s="1" a="1"/>
  <c r="P38" i="49" s="1"/>
  <c r="T67" i="42"/>
  <c r="O38" i="49" s="1" a="1"/>
  <c r="O38" i="49" s="1"/>
  <c r="U55" i="43"/>
  <c r="V55" i="43"/>
  <c r="R55" i="43"/>
  <c r="T55" i="43"/>
  <c r="S55" i="43"/>
  <c r="H43" i="65"/>
  <c r="R43" i="65" s="1"/>
  <c r="M19" i="69" s="1" a="1"/>
  <c r="M19" i="69" s="1"/>
  <c r="H68" i="65"/>
  <c r="E41" i="69" s="1"/>
  <c r="V51" i="42"/>
  <c r="Q26" i="49" s="1" a="1"/>
  <c r="Q26" i="49" s="1"/>
  <c r="E26" i="49"/>
  <c r="R51" i="42"/>
  <c r="M26" i="49" s="1" a="1"/>
  <c r="M26" i="49" s="1"/>
  <c r="T51" i="42"/>
  <c r="O26" i="49" s="1" a="1"/>
  <c r="O26" i="49" s="1"/>
  <c r="U51" i="42"/>
  <c r="P26" i="49" s="1" a="1"/>
  <c r="P26" i="49" s="1"/>
  <c r="S51" i="42"/>
  <c r="N26" i="49" s="1" a="1"/>
  <c r="N26" i="49" s="1"/>
  <c r="H40" i="67"/>
  <c r="H41" i="67"/>
  <c r="H43" i="67"/>
  <c r="I28" i="70"/>
  <c r="H57" i="67"/>
  <c r="J28" i="70"/>
  <c r="H44" i="67"/>
  <c r="G28" i="70"/>
  <c r="H42" i="67"/>
  <c r="H28" i="70"/>
  <c r="F28" i="70"/>
  <c r="H56" i="67"/>
  <c r="H47" i="67"/>
  <c r="E37" i="49"/>
  <c r="S66" i="42"/>
  <c r="N37" i="49" s="1" a="1"/>
  <c r="N37" i="49" s="1"/>
  <c r="U66" i="42"/>
  <c r="P37" i="49" s="1" a="1"/>
  <c r="P37" i="49" s="1"/>
  <c r="T66" i="42"/>
  <c r="O37" i="49" s="1" a="1"/>
  <c r="O37" i="49" s="1"/>
  <c r="R66" i="42"/>
  <c r="M37" i="49" s="1" a="1"/>
  <c r="M37" i="49" s="1"/>
  <c r="V66" i="42"/>
  <c r="Q37" i="49" s="1" a="1"/>
  <c r="Q37" i="49" s="1"/>
  <c r="H48" i="65"/>
  <c r="T42" i="43"/>
  <c r="S42" i="43"/>
  <c r="U42" i="43"/>
  <c r="V42" i="43"/>
  <c r="R42" i="43"/>
  <c r="O65" i="65"/>
  <c r="K38" i="69" s="1" a="1"/>
  <c r="K38" i="69" s="1"/>
  <c r="N65" i="65"/>
  <c r="J38" i="69" s="1" a="1"/>
  <c r="J38" i="69" s="1"/>
  <c r="M65" i="65"/>
  <c r="I38" i="69" s="1" a="1"/>
  <c r="I38" i="69" s="1"/>
  <c r="K65" i="65"/>
  <c r="L65" i="65"/>
  <c r="H38" i="69" s="1" a="1"/>
  <c r="H38" i="69" s="1"/>
  <c r="U43" i="43"/>
  <c r="R43" i="43"/>
  <c r="T43" i="43"/>
  <c r="S43" i="43"/>
  <c r="V43" i="43"/>
  <c r="H44" i="40"/>
  <c r="H55" i="40"/>
  <c r="H56" i="40"/>
  <c r="H40" i="40"/>
  <c r="H41" i="40"/>
  <c r="H42" i="40"/>
  <c r="H43" i="40"/>
  <c r="T50" i="42"/>
  <c r="O25" i="49" s="1" a="1"/>
  <c r="O25" i="49" s="1"/>
  <c r="R50" i="42"/>
  <c r="M25" i="49" s="1" a="1"/>
  <c r="M25" i="49" s="1"/>
  <c r="U50" i="42"/>
  <c r="P25" i="49" s="1" a="1"/>
  <c r="P25" i="49" s="1"/>
  <c r="E25" i="49"/>
  <c r="S50" i="42"/>
  <c r="N25" i="49" s="1" a="1"/>
  <c r="N25" i="49" s="1"/>
  <c r="V50" i="42"/>
  <c r="Q25" i="49" s="1" a="1"/>
  <c r="Q25" i="49" s="1"/>
  <c r="V44" i="43"/>
  <c r="S44" i="43"/>
  <c r="R44" i="43"/>
  <c r="U44" i="43"/>
  <c r="T44" i="43"/>
  <c r="M68" i="42"/>
  <c r="I39" i="49" s="1" a="1"/>
  <c r="I39" i="49" s="1"/>
  <c r="K64" i="42"/>
  <c r="G35" i="49" s="1" a="1"/>
  <c r="G35" i="49" s="1"/>
  <c r="L68" i="42"/>
  <c r="H39" i="49" s="1" a="1"/>
  <c r="H39" i="49" s="1"/>
  <c r="N68" i="42"/>
  <c r="J39" i="49" s="1" a="1"/>
  <c r="J39" i="49" s="1"/>
  <c r="O64" i="42"/>
  <c r="K35" i="49" s="1" a="1"/>
  <c r="K35" i="49" s="1"/>
  <c r="M64" i="42"/>
  <c r="I35" i="49" s="1" a="1"/>
  <c r="I35" i="49" s="1"/>
  <c r="N64" i="42"/>
  <c r="J35" i="49" s="1" a="1"/>
  <c r="J35" i="49" s="1"/>
  <c r="L64" i="42"/>
  <c r="H35" i="49" s="1" a="1"/>
  <c r="H35" i="49" s="1"/>
  <c r="O68" i="42"/>
  <c r="K39" i="49" s="1" a="1"/>
  <c r="K39" i="49" s="1"/>
  <c r="K68" i="42"/>
  <c r="G39" i="49" s="1" a="1"/>
  <c r="G39" i="49" s="1"/>
  <c r="H51" i="65"/>
  <c r="E27" i="69" s="1"/>
  <c r="E36" i="49"/>
  <c r="S65" i="42"/>
  <c r="N36" i="49" s="1" a="1"/>
  <c r="N36" i="49" s="1"/>
  <c r="T65" i="42"/>
  <c r="O36" i="49" s="1" a="1"/>
  <c r="O36" i="49" s="1"/>
  <c r="R65" i="42"/>
  <c r="M36" i="49" s="1" a="1"/>
  <c r="M36" i="49" s="1"/>
  <c r="U65" i="42"/>
  <c r="P36" i="49" s="1" a="1"/>
  <c r="P36" i="49" s="1"/>
  <c r="V65" i="42"/>
  <c r="Q36" i="49" s="1" a="1"/>
  <c r="Q36" i="49" s="1"/>
  <c r="R45" i="43"/>
  <c r="S45" i="43"/>
  <c r="U45" i="43"/>
  <c r="T45" i="43"/>
  <c r="V45" i="43"/>
  <c r="H52" i="65"/>
  <c r="R52" i="65" s="1"/>
  <c r="M28" i="69" s="1" a="1"/>
  <c r="M28" i="69" s="1"/>
  <c r="R49" i="42"/>
  <c r="M24" i="49" s="1" a="1"/>
  <c r="M24" i="49" s="1"/>
  <c r="U49" i="42"/>
  <c r="P24" i="49" s="1" a="1"/>
  <c r="P24" i="49" s="1"/>
  <c r="V49" i="42"/>
  <c r="Q24" i="49" s="1" a="1"/>
  <c r="Q24" i="49" s="1"/>
  <c r="T49" i="42"/>
  <c r="O24" i="49" s="1" a="1"/>
  <c r="O24" i="49" s="1"/>
  <c r="S49" i="42"/>
  <c r="N24" i="49" s="1" a="1"/>
  <c r="N24" i="49" s="1"/>
  <c r="E24" i="49"/>
  <c r="S54" i="43"/>
  <c r="T54" i="43"/>
  <c r="V54" i="43"/>
  <c r="U54" i="43"/>
  <c r="R54" i="43"/>
  <c r="H43" i="41"/>
  <c r="H41" i="41"/>
  <c r="H40" i="41"/>
  <c r="H42" i="41"/>
  <c r="H50" i="65"/>
  <c r="T50" i="65" s="1"/>
  <c r="O26" i="69" s="1" a="1"/>
  <c r="O26" i="69" s="1"/>
  <c r="AG41" i="32"/>
  <c r="AH41" i="32"/>
  <c r="H48" i="42"/>
  <c r="U48" i="42" s="1"/>
  <c r="H43" i="42"/>
  <c r="T43" i="42" s="1"/>
  <c r="O18" i="49" s="1" a="1"/>
  <c r="O18" i="49" s="1"/>
  <c r="H67" i="65"/>
  <c r="R67" i="65" s="1"/>
  <c r="M40" i="69" s="1" a="1"/>
  <c r="M40" i="69" s="1"/>
  <c r="T70" i="65"/>
  <c r="O37" i="69" s="1" a="1"/>
  <c r="O37" i="69" s="1"/>
  <c r="U70" i="65"/>
  <c r="P37" i="69" s="1" a="1"/>
  <c r="P37" i="69" s="1"/>
  <c r="E37" i="69"/>
  <c r="S70" i="65"/>
  <c r="N37" i="69" s="1" a="1"/>
  <c r="N37" i="69" s="1"/>
  <c r="V70" i="65"/>
  <c r="Q37" i="69" s="1" a="1"/>
  <c r="Q37" i="69" s="1"/>
  <c r="R70" i="65"/>
  <c r="M37" i="69" s="1" a="1"/>
  <c r="M37" i="69" s="1"/>
  <c r="S66" i="65"/>
  <c r="N39" i="69" s="1" a="1"/>
  <c r="N39" i="69" s="1"/>
  <c r="U66" i="65"/>
  <c r="P39" i="69" s="1" a="1"/>
  <c r="P39" i="69" s="1"/>
  <c r="E39" i="69"/>
  <c r="T66" i="65"/>
  <c r="O39" i="69" s="1" a="1"/>
  <c r="O39" i="69" s="1"/>
  <c r="U42" i="42"/>
  <c r="V42" i="42"/>
  <c r="E17" i="49"/>
  <c r="T42" i="42"/>
  <c r="S42" i="42"/>
  <c r="R42" i="42"/>
  <c r="D85" i="65"/>
  <c r="V42" i="65"/>
  <c r="Q18" i="69" s="1" a="1"/>
  <c r="Q18" i="69" s="1"/>
  <c r="R42" i="65"/>
  <c r="M18" i="69" s="1" a="1"/>
  <c r="M18" i="69" s="1"/>
  <c r="S42" i="65"/>
  <c r="N18" i="69" s="1" a="1"/>
  <c r="N18" i="69" s="1"/>
  <c r="E18" i="69"/>
  <c r="U42" i="65"/>
  <c r="P18" i="69" s="1" a="1"/>
  <c r="P18" i="69" s="1"/>
  <c r="T42" i="65"/>
  <c r="O18" i="69" s="1" a="1"/>
  <c r="O18" i="69" s="1"/>
  <c r="V48" i="65"/>
  <c r="S48" i="65"/>
  <c r="R48" i="65"/>
  <c r="M24" i="69" s="1" a="1"/>
  <c r="M24" i="69" s="1"/>
  <c r="E24" i="69"/>
  <c r="U48" i="65"/>
  <c r="P24" i="69" s="1" a="1"/>
  <c r="P24" i="69" s="1"/>
  <c r="T48" i="65"/>
  <c r="U49" i="65"/>
  <c r="P25" i="69" s="1" a="1"/>
  <c r="P25" i="69" s="1"/>
  <c r="R49" i="65"/>
  <c r="M25" i="69" s="1" a="1"/>
  <c r="M25" i="69" s="1"/>
  <c r="T49" i="65"/>
  <c r="O25" i="69" s="1" a="1"/>
  <c r="O25" i="69" s="1"/>
  <c r="V49" i="65"/>
  <c r="Q25" i="69" s="1" a="1"/>
  <c r="Q25" i="69" s="1"/>
  <c r="E25" i="69"/>
  <c r="S49" i="65"/>
  <c r="N25" i="69" s="1" a="1"/>
  <c r="N25" i="69" s="1"/>
  <c r="V41" i="65"/>
  <c r="E17" i="69"/>
  <c r="S41" i="65"/>
  <c r="N17" i="69" s="1" a="1"/>
  <c r="N17" i="69" s="1"/>
  <c r="R41" i="65"/>
  <c r="T41" i="65"/>
  <c r="O17" i="69" s="1" a="1"/>
  <c r="O17" i="69" s="1"/>
  <c r="U41" i="65"/>
  <c r="P17" i="69" s="1" a="1"/>
  <c r="P17" i="69" s="1"/>
  <c r="F76" i="65"/>
  <c r="G77" i="65" s="1"/>
  <c r="S51" i="65" l="1"/>
  <c r="N27" i="69" s="1" a="1"/>
  <c r="N27" i="69" s="1"/>
  <c r="T52" i="65"/>
  <c r="O28" i="69" s="1" a="1"/>
  <c r="O28" i="69" s="1"/>
  <c r="R51" i="65"/>
  <c r="M27" i="69" s="1" a="1"/>
  <c r="M27" i="69" s="1"/>
  <c r="V66" i="65"/>
  <c r="Q39" i="69" s="1" a="1"/>
  <c r="Q39" i="69" s="1"/>
  <c r="R50" i="65"/>
  <c r="M26" i="69" s="1" a="1"/>
  <c r="M26" i="69" s="1"/>
  <c r="E28" i="69"/>
  <c r="V50" i="65"/>
  <c r="Q26" i="69" s="1" a="1"/>
  <c r="Q26" i="69" s="1"/>
  <c r="U52" i="65"/>
  <c r="P28" i="69" s="1" a="1"/>
  <c r="P28" i="69" s="1"/>
  <c r="V43" i="65"/>
  <c r="Q19" i="69" s="1" a="1"/>
  <c r="Q19" i="69" s="1"/>
  <c r="R53" i="43"/>
  <c r="E26" i="69"/>
  <c r="V48" i="42"/>
  <c r="T43" i="65"/>
  <c r="O19" i="69" s="1" a="1"/>
  <c r="O19" i="69" s="1"/>
  <c r="E19" i="69"/>
  <c r="E23" i="49"/>
  <c r="S43" i="65"/>
  <c r="N19" i="69" s="1" a="1"/>
  <c r="N19" i="69" s="1"/>
  <c r="N69" i="42"/>
  <c r="J40" i="49" s="1" a="1"/>
  <c r="J40" i="49" s="1"/>
  <c r="U43" i="65"/>
  <c r="P19" i="69" s="1" a="1"/>
  <c r="P19" i="69" s="1"/>
  <c r="T48" i="42"/>
  <c r="T52" i="42" s="1"/>
  <c r="O27" i="49" s="1" a="1"/>
  <c r="O27" i="49" s="1"/>
  <c r="U50" i="65"/>
  <c r="P26" i="69" s="1" a="1"/>
  <c r="P26" i="69" s="1"/>
  <c r="R48" i="42"/>
  <c r="S48" i="42"/>
  <c r="S50" i="65"/>
  <c r="N26" i="69" s="1" a="1"/>
  <c r="N26" i="69" s="1"/>
  <c r="V52" i="65"/>
  <c r="Q28" i="69" s="1" a="1"/>
  <c r="Q28" i="69" s="1"/>
  <c r="S52" i="65"/>
  <c r="N28" i="69" s="1" a="1"/>
  <c r="N28" i="69" s="1"/>
  <c r="U51" i="65"/>
  <c r="P27" i="69" s="1" a="1"/>
  <c r="P27" i="69" s="1"/>
  <c r="U68" i="65"/>
  <c r="P41" i="69" s="1" a="1"/>
  <c r="P41" i="69" s="1"/>
  <c r="R68" i="65"/>
  <c r="M41" i="69" s="1" a="1"/>
  <c r="M41" i="69" s="1"/>
  <c r="T51" i="65"/>
  <c r="O27" i="69" s="1" a="1"/>
  <c r="O27" i="69" s="1"/>
  <c r="V51" i="65"/>
  <c r="Q27" i="69" s="1" a="1"/>
  <c r="Q27" i="69" s="1"/>
  <c r="M69" i="42"/>
  <c r="I40" i="49" s="1" a="1"/>
  <c r="I40" i="49" s="1"/>
  <c r="T68" i="65"/>
  <c r="O41" i="69" s="1" a="1"/>
  <c r="O41" i="69" s="1"/>
  <c r="V68" i="65"/>
  <c r="Q41" i="69" s="1" a="1"/>
  <c r="Q41" i="69" s="1"/>
  <c r="S68" i="65"/>
  <c r="N41" i="69" s="1" a="1"/>
  <c r="N41" i="69" s="1"/>
  <c r="R44" i="40"/>
  <c r="T44" i="40"/>
  <c r="N20" i="50" s="1" a="1"/>
  <c r="N20" i="50" s="1"/>
  <c r="V44" i="40"/>
  <c r="P20" i="50" s="1" a="1"/>
  <c r="P20" i="50" s="1"/>
  <c r="S44" i="40"/>
  <c r="M20" i="50" s="1" a="1"/>
  <c r="M20" i="50" s="1"/>
  <c r="U44" i="40"/>
  <c r="O20" i="50" s="1" a="1"/>
  <c r="O20" i="50" s="1"/>
  <c r="U56" i="67"/>
  <c r="S56" i="67"/>
  <c r="V56" i="67"/>
  <c r="T56" i="67"/>
  <c r="R56" i="67"/>
  <c r="R43" i="67"/>
  <c r="L19" i="70" s="1" a="1"/>
  <c r="L19" i="70" s="1"/>
  <c r="V43" i="67"/>
  <c r="P19" i="70" s="1" a="1"/>
  <c r="P19" i="70" s="1"/>
  <c r="S43" i="67"/>
  <c r="M19" i="70" s="1" a="1"/>
  <c r="M19" i="70" s="1"/>
  <c r="T43" i="67"/>
  <c r="N19" i="70" s="1" a="1"/>
  <c r="N19" i="70" s="1"/>
  <c r="U43" i="67"/>
  <c r="O19" i="70" s="1" a="1"/>
  <c r="O19" i="70" s="1"/>
  <c r="V40" i="41"/>
  <c r="P16" i="46" s="1"/>
  <c r="R40" i="41"/>
  <c r="L16" i="46" s="1"/>
  <c r="U40" i="41"/>
  <c r="O16" i="46" s="1"/>
  <c r="T40" i="41"/>
  <c r="N16" i="46" s="1"/>
  <c r="S40" i="41"/>
  <c r="M16" i="46" s="1"/>
  <c r="O69" i="42"/>
  <c r="R43" i="40"/>
  <c r="S43" i="40"/>
  <c r="U43" i="40"/>
  <c r="T43" i="40"/>
  <c r="V43" i="40"/>
  <c r="U41" i="67"/>
  <c r="O17" i="70" s="1" a="1"/>
  <c r="O17" i="70" s="1"/>
  <c r="T41" i="67"/>
  <c r="N17" i="70" s="1" a="1"/>
  <c r="N17" i="70" s="1"/>
  <c r="V41" i="67"/>
  <c r="P17" i="70" s="1" a="1"/>
  <c r="P17" i="70" s="1"/>
  <c r="R41" i="67"/>
  <c r="L17" i="70" s="1" a="1"/>
  <c r="L17" i="70" s="1"/>
  <c r="S41" i="67"/>
  <c r="M17" i="70" s="1" a="1"/>
  <c r="M17" i="70" s="1"/>
  <c r="R41" i="41"/>
  <c r="L17" i="46" s="1"/>
  <c r="S41" i="41"/>
  <c r="M17" i="46" s="1"/>
  <c r="V41" i="41"/>
  <c r="P17" i="46" s="1"/>
  <c r="U41" i="41"/>
  <c r="O17" i="46" s="1"/>
  <c r="T41" i="41"/>
  <c r="N17" i="46" s="1"/>
  <c r="U42" i="40"/>
  <c r="S42" i="40"/>
  <c r="V42" i="40"/>
  <c r="R42" i="40"/>
  <c r="T42" i="40"/>
  <c r="R42" i="67"/>
  <c r="L18" i="70" s="1" a="1"/>
  <c r="L18" i="70" s="1"/>
  <c r="S42" i="67"/>
  <c r="M18" i="70" s="1" a="1"/>
  <c r="M18" i="70" s="1"/>
  <c r="T42" i="67"/>
  <c r="N18" i="70" s="1" a="1"/>
  <c r="N18" i="70" s="1"/>
  <c r="U42" i="67"/>
  <c r="O18" i="70" s="1" a="1"/>
  <c r="O18" i="70" s="1"/>
  <c r="V42" i="67"/>
  <c r="P18" i="70" s="1" a="1"/>
  <c r="P18" i="70" s="1"/>
  <c r="U40" i="67"/>
  <c r="O16" i="70" s="1" a="1"/>
  <c r="O16" i="70" s="1"/>
  <c r="S40" i="67"/>
  <c r="M16" i="70" s="1" a="1"/>
  <c r="M16" i="70" s="1"/>
  <c r="R40" i="67"/>
  <c r="L16" i="70" s="1" a="1"/>
  <c r="L16" i="70" s="1"/>
  <c r="T40" i="67"/>
  <c r="N16" i="70" s="1" a="1"/>
  <c r="N16" i="70" s="1"/>
  <c r="V40" i="67"/>
  <c r="P16" i="70" s="1" a="1"/>
  <c r="P16" i="70" s="1"/>
  <c r="R42" i="41"/>
  <c r="L18" i="46" s="1"/>
  <c r="U42" i="41"/>
  <c r="O18" i="46" s="1"/>
  <c r="S42" i="41"/>
  <c r="M18" i="46" s="1"/>
  <c r="V42" i="41"/>
  <c r="P18" i="46" s="1"/>
  <c r="T42" i="41"/>
  <c r="N18" i="46" s="1"/>
  <c r="R43" i="41"/>
  <c r="L19" i="46" s="1"/>
  <c r="S43" i="41"/>
  <c r="M19" i="46" s="1"/>
  <c r="U43" i="41"/>
  <c r="O19" i="46" s="1"/>
  <c r="T43" i="41"/>
  <c r="N19" i="46" s="1"/>
  <c r="V43" i="41"/>
  <c r="P19" i="46" s="1"/>
  <c r="V41" i="40"/>
  <c r="R41" i="40"/>
  <c r="U41" i="40"/>
  <c r="S41" i="40"/>
  <c r="T41" i="40"/>
  <c r="V53" i="43"/>
  <c r="K69" i="42"/>
  <c r="T40" i="40"/>
  <c r="R40" i="40"/>
  <c r="U40" i="40"/>
  <c r="V40" i="40"/>
  <c r="S40" i="40"/>
  <c r="U53" i="43"/>
  <c r="V44" i="67"/>
  <c r="P20" i="70" s="1" a="1"/>
  <c r="P20" i="70" s="1"/>
  <c r="S44" i="67"/>
  <c r="M20" i="70" s="1" a="1"/>
  <c r="M20" i="70" s="1"/>
  <c r="U44" i="67"/>
  <c r="O20" i="70" s="1" a="1"/>
  <c r="O20" i="70" s="1"/>
  <c r="T44" i="67"/>
  <c r="N20" i="70" s="1" a="1"/>
  <c r="N20" i="70" s="1"/>
  <c r="R44" i="67"/>
  <c r="L20" i="70" s="1" a="1"/>
  <c r="L20" i="70" s="1"/>
  <c r="V56" i="40"/>
  <c r="S56" i="40"/>
  <c r="R56" i="40"/>
  <c r="U56" i="40"/>
  <c r="T56" i="40"/>
  <c r="S53" i="43"/>
  <c r="L69" i="42"/>
  <c r="T55" i="40"/>
  <c r="V55" i="40"/>
  <c r="U55" i="40"/>
  <c r="S55" i="40"/>
  <c r="R55" i="40"/>
  <c r="G38" i="69" a="1"/>
  <c r="G38" i="69" s="1"/>
  <c r="K69" i="65"/>
  <c r="T53" i="43"/>
  <c r="T47" i="67"/>
  <c r="U47" i="67"/>
  <c r="O23" i="70" s="1" a="1"/>
  <c r="O23" i="70" s="1"/>
  <c r="R47" i="67"/>
  <c r="L23" i="70" s="1" a="1"/>
  <c r="L23" i="70" s="1"/>
  <c r="V47" i="67"/>
  <c r="P23" i="70" s="1" a="1"/>
  <c r="P23" i="70" s="1"/>
  <c r="S47" i="67"/>
  <c r="M23" i="70" s="1" a="1"/>
  <c r="M23" i="70" s="1"/>
  <c r="R57" i="67"/>
  <c r="L32" i="70" s="1" a="1"/>
  <c r="L32" i="70" s="1"/>
  <c r="V57" i="67"/>
  <c r="P32" i="70" s="1" a="1"/>
  <c r="P32" i="70" s="1"/>
  <c r="S57" i="67"/>
  <c r="M32" i="70" s="1" a="1"/>
  <c r="M32" i="70" s="1"/>
  <c r="T57" i="67"/>
  <c r="N32" i="70" s="1" a="1"/>
  <c r="N32" i="70" s="1"/>
  <c r="U57" i="67"/>
  <c r="O32" i="70" s="1" a="1"/>
  <c r="O32" i="70" s="1"/>
  <c r="V67" i="65"/>
  <c r="Q40" i="69" s="1" a="1"/>
  <c r="Q40" i="69" s="1"/>
  <c r="E40" i="69"/>
  <c r="U67" i="65"/>
  <c r="P40" i="69" s="1" a="1"/>
  <c r="P40" i="69" s="1"/>
  <c r="U43" i="42"/>
  <c r="P18" i="49" s="1" a="1"/>
  <c r="P18" i="49" s="1"/>
  <c r="V43" i="42"/>
  <c r="Q18" i="49" s="1" a="1"/>
  <c r="Q18" i="49" s="1"/>
  <c r="S43" i="42"/>
  <c r="N18" i="49" s="1" a="1"/>
  <c r="N18" i="49" s="1"/>
  <c r="R43" i="42"/>
  <c r="M18" i="49" s="1" a="1"/>
  <c r="M18" i="49" s="1"/>
  <c r="S67" i="65"/>
  <c r="N40" i="69" s="1" a="1"/>
  <c r="N40" i="69" s="1"/>
  <c r="E18" i="49"/>
  <c r="T67" i="65"/>
  <c r="O40" i="69" s="1" a="1"/>
  <c r="O40" i="69" s="1"/>
  <c r="S52" i="42"/>
  <c r="N27" i="49" s="1" a="1"/>
  <c r="N27" i="49" s="1"/>
  <c r="N23" i="49" a="1"/>
  <c r="N23" i="49" s="1"/>
  <c r="M17" i="49" a="1"/>
  <c r="M17" i="49" s="1"/>
  <c r="N17" i="49" a="1"/>
  <c r="N17" i="49" s="1"/>
  <c r="U52" i="42"/>
  <c r="P27" i="49" s="1" a="1"/>
  <c r="P27" i="49" s="1"/>
  <c r="P23" i="49" a="1"/>
  <c r="P23" i="49" s="1"/>
  <c r="V52" i="42"/>
  <c r="Q27" i="49" s="1" a="1"/>
  <c r="Q27" i="49" s="1"/>
  <c r="Q23" i="49" a="1"/>
  <c r="Q23" i="49" s="1"/>
  <c r="T44" i="42"/>
  <c r="O19" i="49" s="1" a="1"/>
  <c r="O19" i="49" s="1"/>
  <c r="O17" i="49" a="1"/>
  <c r="O17" i="49" s="1"/>
  <c r="Q17" i="49" a="1"/>
  <c r="Q17" i="49" s="1"/>
  <c r="P17" i="49" a="1"/>
  <c r="P17" i="49" s="1"/>
  <c r="R52" i="42"/>
  <c r="M27" i="49" s="1" a="1"/>
  <c r="M27" i="49" s="1"/>
  <c r="M23" i="49" a="1"/>
  <c r="M23" i="49" s="1"/>
  <c r="T53" i="65"/>
  <c r="O29" i="69" s="1" a="1"/>
  <c r="O29" i="69" s="1"/>
  <c r="O24" i="69" a="1"/>
  <c r="O24" i="69" s="1"/>
  <c r="V53" i="65"/>
  <c r="Q29" i="69" s="1" a="1"/>
  <c r="Q29" i="69" s="1"/>
  <c r="Q24" i="69" a="1"/>
  <c r="Q24" i="69" s="1"/>
  <c r="S53" i="65"/>
  <c r="N29" i="69" s="1" a="1"/>
  <c r="N29" i="69" s="1"/>
  <c r="N24" i="69" a="1"/>
  <c r="N24" i="69" s="1"/>
  <c r="T44" i="65"/>
  <c r="O20" i="69" s="1" a="1"/>
  <c r="O20" i="69" s="1"/>
  <c r="U53" i="65"/>
  <c r="P29" i="69" s="1" a="1"/>
  <c r="P29" i="69" s="1"/>
  <c r="R53" i="65"/>
  <c r="M29" i="69" s="1" a="1"/>
  <c r="M29" i="69" s="1"/>
  <c r="M17" i="69" a="1"/>
  <c r="M17" i="69" s="1"/>
  <c r="R44" i="65"/>
  <c r="Q17" i="69" a="1"/>
  <c r="Q17" i="69" s="1"/>
  <c r="S44" i="65" l="1"/>
  <c r="V44" i="65"/>
  <c r="V45" i="65" s="1"/>
  <c r="O23" i="49" a="1"/>
  <c r="O23" i="49" s="1"/>
  <c r="M70" i="42"/>
  <c r="I41" i="49" s="1" a="1"/>
  <c r="I41" i="49" s="1"/>
  <c r="I31" i="49" s="1"/>
  <c r="I43" i="49" s="1"/>
  <c r="U44" i="65"/>
  <c r="P20" i="69" s="1" a="1"/>
  <c r="P20" i="69" s="1"/>
  <c r="N70" i="42"/>
  <c r="I17" i="35"/>
  <c r="P31" i="70" a="1"/>
  <c r="P31" i="70" s="1"/>
  <c r="P33" i="70" s="1"/>
  <c r="V55" i="67"/>
  <c r="H40" i="49" a="1"/>
  <c r="H40" i="49" s="1"/>
  <c r="L70" i="42"/>
  <c r="M31" i="70" a="1"/>
  <c r="M31" i="70" s="1"/>
  <c r="M33" i="70" s="1"/>
  <c r="S55" i="67"/>
  <c r="O31" i="70" a="1"/>
  <c r="O31" i="70" s="1"/>
  <c r="O33" i="70" s="1"/>
  <c r="U55" i="67"/>
  <c r="K40" i="49" a="1"/>
  <c r="K40" i="49" s="1"/>
  <c r="O70" i="42"/>
  <c r="H17" i="32"/>
  <c r="N23" i="70" a="1"/>
  <c r="N23" i="70" s="1"/>
  <c r="G40" i="49" a="1"/>
  <c r="G40" i="49" s="1"/>
  <c r="K70" i="42"/>
  <c r="L31" i="70" a="1"/>
  <c r="L31" i="70" s="1"/>
  <c r="L33" i="70" s="1"/>
  <c r="R55" i="67"/>
  <c r="U44" i="42"/>
  <c r="U45" i="42" s="1"/>
  <c r="U53" i="42" s="1"/>
  <c r="U54" i="42" s="1"/>
  <c r="P29" i="49" s="1" a="1"/>
  <c r="P29" i="49" s="1"/>
  <c r="N31" i="70" a="1"/>
  <c r="N31" i="70" s="1"/>
  <c r="N33" i="70" s="1"/>
  <c r="T55" i="67"/>
  <c r="R44" i="42"/>
  <c r="R45" i="42" s="1"/>
  <c r="R53" i="42" s="1"/>
  <c r="R54" i="42" s="1"/>
  <c r="M29" i="49" s="1" a="1"/>
  <c r="M29" i="49" s="1"/>
  <c r="V44" i="42"/>
  <c r="Q19" i="49" s="1" a="1"/>
  <c r="Q19" i="49" s="1"/>
  <c r="S44" i="42"/>
  <c r="S45" i="42" s="1"/>
  <c r="S53" i="42" s="1"/>
  <c r="T45" i="42"/>
  <c r="T53" i="42" s="1"/>
  <c r="O28" i="49" s="1" a="1"/>
  <c r="O28" i="49" s="1"/>
  <c r="N19" i="49" a="1"/>
  <c r="N19" i="49" s="1"/>
  <c r="M19" i="49" a="1"/>
  <c r="M19" i="49" s="1"/>
  <c r="T45" i="65"/>
  <c r="T54" i="65" s="1"/>
  <c r="T55" i="65" s="1"/>
  <c r="O31" i="69" s="1" a="1"/>
  <c r="O31" i="69" s="1"/>
  <c r="N20" i="69" a="1"/>
  <c r="N20" i="69" s="1"/>
  <c r="S45" i="65"/>
  <c r="Q20" i="69" a="1"/>
  <c r="Q20" i="69" s="1"/>
  <c r="M20" i="69" a="1"/>
  <c r="M20" i="69" s="1"/>
  <c r="R45" i="65"/>
  <c r="U45" i="65" l="1"/>
  <c r="M71" i="42"/>
  <c r="M75" i="42" s="1"/>
  <c r="M76" i="42" s="1"/>
  <c r="O44" i="73" s="1"/>
  <c r="Q44" i="73" s="1"/>
  <c r="M46" i="40" s="1"/>
  <c r="H21" i="50" s="1" a="1"/>
  <c r="H21" i="50" s="1"/>
  <c r="M28" i="49" a="1"/>
  <c r="M28" i="49" s="1"/>
  <c r="M15" i="49" s="1"/>
  <c r="P19" i="49" a="1"/>
  <c r="P19" i="49" s="1"/>
  <c r="K71" i="42"/>
  <c r="K75" i="42" s="1"/>
  <c r="G41" i="49" a="1"/>
  <c r="G41" i="49" s="1"/>
  <c r="G31" i="49" s="1"/>
  <c r="G43" i="49" s="1"/>
  <c r="G46" i="49" s="1"/>
  <c r="J41" i="49" a="1"/>
  <c r="J41" i="49" s="1"/>
  <c r="J31" i="49" s="1"/>
  <c r="J43" i="49" s="1"/>
  <c r="J46" i="49" s="1"/>
  <c r="N71" i="42"/>
  <c r="N75" i="42" s="1"/>
  <c r="V45" i="42"/>
  <c r="V53" i="42" s="1"/>
  <c r="H41" i="49" a="1"/>
  <c r="H41" i="49" s="1"/>
  <c r="H31" i="49" s="1"/>
  <c r="H43" i="49" s="1"/>
  <c r="H46" i="49" s="1"/>
  <c r="L71" i="42"/>
  <c r="L75" i="42" s="1"/>
  <c r="AB41" i="32"/>
  <c r="AC41" i="32"/>
  <c r="AF41" i="32"/>
  <c r="AD41" i="32"/>
  <c r="AE41" i="32"/>
  <c r="I41" i="32"/>
  <c r="Q41" i="32"/>
  <c r="H41" i="32"/>
  <c r="J41" i="32"/>
  <c r="R41" i="32"/>
  <c r="S41" i="32"/>
  <c r="T41" i="32"/>
  <c r="U41" i="32"/>
  <c r="P41" i="32"/>
  <c r="L41" i="32"/>
  <c r="X41" i="32"/>
  <c r="K41" i="32"/>
  <c r="M41" i="32"/>
  <c r="Y41" i="32"/>
  <c r="N41" i="32"/>
  <c r="V41" i="32"/>
  <c r="AA41" i="32"/>
  <c r="Z41" i="32"/>
  <c r="O41" i="32"/>
  <c r="W41" i="32"/>
  <c r="K41" i="49" a="1"/>
  <c r="K41" i="49" s="1"/>
  <c r="K31" i="49" s="1"/>
  <c r="K43" i="49" s="1"/>
  <c r="K46" i="49" s="1"/>
  <c r="O71" i="42"/>
  <c r="O75" i="42" s="1"/>
  <c r="O30" i="69" a="1"/>
  <c r="O30" i="69" s="1"/>
  <c r="O15" i="69" s="1"/>
  <c r="R55" i="42"/>
  <c r="R57" i="42" s="1"/>
  <c r="R63" i="42" s="1"/>
  <c r="M34" i="49" s="1" a="1"/>
  <c r="M34" i="49" s="1"/>
  <c r="T54" i="42"/>
  <c r="U55" i="42"/>
  <c r="U57" i="42" s="1"/>
  <c r="U62" i="42" s="1"/>
  <c r="P33" i="49" s="1" a="1"/>
  <c r="P33" i="49" s="1"/>
  <c r="P28" i="49" a="1"/>
  <c r="P28" i="49" s="1"/>
  <c r="S54" i="42"/>
  <c r="N29" i="49" s="1" a="1"/>
  <c r="N29" i="49" s="1"/>
  <c r="N28" i="49" a="1"/>
  <c r="N28" i="49" s="1"/>
  <c r="T56" i="65"/>
  <c r="T58" i="65" s="1"/>
  <c r="T62" i="65" s="1"/>
  <c r="O34" i="69" s="1" a="1"/>
  <c r="O34" i="69" s="1"/>
  <c r="U54" i="65"/>
  <c r="U55" i="65" s="1"/>
  <c r="P31" i="69" s="1" a="1"/>
  <c r="P31" i="69" s="1"/>
  <c r="S54" i="65"/>
  <c r="S55" i="65" s="1"/>
  <c r="N31" i="69" s="1" a="1"/>
  <c r="N31" i="69" s="1"/>
  <c r="R54" i="65"/>
  <c r="R55" i="65" s="1"/>
  <c r="M31" i="69" s="1" a="1"/>
  <c r="M31" i="69" s="1"/>
  <c r="V54" i="65"/>
  <c r="I46" i="49"/>
  <c r="M37" i="40" l="1" a="1"/>
  <c r="M37" i="40" s="1"/>
  <c r="M47" i="40" s="1"/>
  <c r="H23" i="50" s="1" a="1"/>
  <c r="H23" i="50" s="1"/>
  <c r="P15" i="49"/>
  <c r="H19" i="80"/>
  <c r="V54" i="42"/>
  <c r="Q29" i="49" s="1" a="1"/>
  <c r="Q29" i="49" s="1"/>
  <c r="Q28" i="49" a="1"/>
  <c r="Q28" i="49" s="1"/>
  <c r="K76" i="42"/>
  <c r="K37" i="40" a="1"/>
  <c r="K37" i="40" s="1"/>
  <c r="N37" i="40" a="1"/>
  <c r="N37" i="40" s="1"/>
  <c r="N76" i="42"/>
  <c r="R62" i="42"/>
  <c r="M33" i="49" s="1" a="1"/>
  <c r="M33" i="49" s="1"/>
  <c r="R61" i="42"/>
  <c r="M32" i="49" s="1" a="1"/>
  <c r="M32" i="49" s="1"/>
  <c r="O37" i="40" a="1"/>
  <c r="O37" i="40" s="1"/>
  <c r="O76" i="42"/>
  <c r="L76" i="42"/>
  <c r="K44" i="73" s="1"/>
  <c r="L44" i="73" s="1"/>
  <c r="L37" i="40" a="1"/>
  <c r="L37" i="40" s="1"/>
  <c r="U61" i="42"/>
  <c r="P32" i="49" s="1" a="1"/>
  <c r="P32" i="49" s="1"/>
  <c r="U63" i="42"/>
  <c r="P34" i="49" s="1" a="1"/>
  <c r="P34" i="49" s="1"/>
  <c r="O29" i="49" a="1"/>
  <c r="O29" i="49" s="1"/>
  <c r="O15" i="49" s="1"/>
  <c r="T55" i="42"/>
  <c r="T57" i="42" s="1"/>
  <c r="N15" i="49"/>
  <c r="S55" i="42"/>
  <c r="S57" i="42" s="1"/>
  <c r="S63" i="42" s="1"/>
  <c r="N34" i="49" s="1" a="1"/>
  <c r="N34" i="49" s="1"/>
  <c r="T64" i="65"/>
  <c r="O36" i="69" s="1" a="1"/>
  <c r="O36" i="69" s="1"/>
  <c r="T63" i="65"/>
  <c r="O35" i="69" s="1" a="1"/>
  <c r="O35" i="69" s="1"/>
  <c r="V55" i="65"/>
  <c r="Q31" i="69" s="1" a="1"/>
  <c r="Q31" i="69" s="1"/>
  <c r="Q30" i="69" a="1"/>
  <c r="Q30" i="69" s="1"/>
  <c r="P30" i="69" a="1"/>
  <c r="P30" i="69" s="1"/>
  <c r="P15" i="69" s="1"/>
  <c r="U56" i="65"/>
  <c r="U58" i="65" s="1"/>
  <c r="N30" i="69" a="1"/>
  <c r="N30" i="69" s="1"/>
  <c r="N15" i="69" s="1"/>
  <c r="S56" i="65"/>
  <c r="S58" i="65" s="1"/>
  <c r="M30" i="69" a="1"/>
  <c r="M30" i="69" s="1"/>
  <c r="M15" i="69" s="1"/>
  <c r="R56" i="65"/>
  <c r="R58" i="65" s="1"/>
  <c r="M45" i="40" l="1"/>
  <c r="H22" i="50" s="1" a="1"/>
  <c r="H22" i="50" s="1"/>
  <c r="V55" i="42"/>
  <c r="V57" i="42" s="1"/>
  <c r="V62" i="42" s="1"/>
  <c r="Q33" i="49" s="1" a="1"/>
  <c r="Q33" i="49" s="1"/>
  <c r="Q15" i="49"/>
  <c r="R69" i="42"/>
  <c r="R70" i="42" s="1"/>
  <c r="K47" i="40"/>
  <c r="F23" i="50" s="1" a="1"/>
  <c r="F23" i="50" s="1"/>
  <c r="K45" i="40"/>
  <c r="F22" i="50" s="1" a="1"/>
  <c r="F22" i="50" s="1"/>
  <c r="V61" i="42"/>
  <c r="Q32" i="49" s="1" a="1"/>
  <c r="Q32" i="49" s="1"/>
  <c r="U69" i="42"/>
  <c r="P40" i="49" s="1" a="1"/>
  <c r="P40" i="49" s="1"/>
  <c r="N47" i="40"/>
  <c r="I23" i="50" s="1" a="1"/>
  <c r="I23" i="50" s="1"/>
  <c r="N45" i="40"/>
  <c r="I22" i="50" s="1" a="1"/>
  <c r="I22" i="50" s="1"/>
  <c r="L47" i="40"/>
  <c r="G23" i="50" s="1" a="1"/>
  <c r="G23" i="50" s="1"/>
  <c r="L45" i="40"/>
  <c r="G22" i="50" s="1" a="1"/>
  <c r="G22" i="50" s="1"/>
  <c r="L46" i="40"/>
  <c r="G21" i="50" s="1" a="1"/>
  <c r="G21" i="50" s="1"/>
  <c r="G19" i="80"/>
  <c r="O47" i="40"/>
  <c r="J23" i="50" s="1" a="1"/>
  <c r="J23" i="50" s="1"/>
  <c r="O45" i="40"/>
  <c r="J22" i="50" s="1" a="1"/>
  <c r="J22" i="50" s="1"/>
  <c r="S62" i="42"/>
  <c r="N33" i="49" s="1" a="1"/>
  <c r="N33" i="49" s="1"/>
  <c r="T63" i="42"/>
  <c r="O34" i="49" s="1" a="1"/>
  <c r="O34" i="49" s="1"/>
  <c r="T61" i="42"/>
  <c r="T62" i="42"/>
  <c r="O33" i="49" s="1" a="1"/>
  <c r="O33" i="49" s="1"/>
  <c r="S61" i="42"/>
  <c r="N32" i="49" s="1" a="1"/>
  <c r="N32" i="49" s="1"/>
  <c r="V56" i="65"/>
  <c r="V58" i="65" s="1"/>
  <c r="V62" i="65" s="1"/>
  <c r="Q34" i="69" s="1" a="1"/>
  <c r="Q34" i="69" s="1"/>
  <c r="Q15" i="69"/>
  <c r="U63" i="65"/>
  <c r="P35" i="69" s="1" a="1"/>
  <c r="P35" i="69" s="1"/>
  <c r="U64" i="65"/>
  <c r="P36" i="69" s="1" a="1"/>
  <c r="P36" i="69" s="1"/>
  <c r="U62" i="65"/>
  <c r="P34" i="69" s="1" a="1"/>
  <c r="P34" i="69" s="1"/>
  <c r="S62" i="65"/>
  <c r="N34" i="69" s="1" a="1"/>
  <c r="N34" i="69" s="1"/>
  <c r="S63" i="65"/>
  <c r="N35" i="69" s="1" a="1"/>
  <c r="N35" i="69" s="1"/>
  <c r="S64" i="65"/>
  <c r="N36" i="69" s="1" a="1"/>
  <c r="N36" i="69" s="1"/>
  <c r="R64" i="65"/>
  <c r="M36" i="69" s="1" a="1"/>
  <c r="M36" i="69" s="1"/>
  <c r="R62" i="65"/>
  <c r="M34" i="69" s="1" a="1"/>
  <c r="M34" i="69" s="1"/>
  <c r="R63" i="65"/>
  <c r="M35" i="69" s="1" a="1"/>
  <c r="M35" i="69" s="1"/>
  <c r="G50" i="41"/>
  <c r="M40" i="49" l="1" a="1"/>
  <c r="M40" i="49" s="1"/>
  <c r="V63" i="42"/>
  <c r="Q34" i="49" s="1" a="1"/>
  <c r="Q34" i="49" s="1"/>
  <c r="U70" i="42"/>
  <c r="P41" i="49" s="1" a="1"/>
  <c r="P41" i="49" s="1"/>
  <c r="P31" i="49" s="1"/>
  <c r="P43" i="49" s="1"/>
  <c r="P46" i="49" s="1"/>
  <c r="F25" i="50"/>
  <c r="F26" i="50" s="1"/>
  <c r="G25" i="50"/>
  <c r="G26" i="50" s="1"/>
  <c r="J25" i="50"/>
  <c r="J26" i="50" s="1"/>
  <c r="I25" i="50"/>
  <c r="I26" i="50" s="1"/>
  <c r="N50" i="40"/>
  <c r="N51" i="40" s="1"/>
  <c r="L50" i="40"/>
  <c r="L51" i="40" s="1"/>
  <c r="O50" i="40"/>
  <c r="O51" i="40" s="1"/>
  <c r="S69" i="42"/>
  <c r="S70" i="42" s="1"/>
  <c r="O32" i="49" a="1"/>
  <c r="O32" i="49" s="1"/>
  <c r="T69" i="42"/>
  <c r="V63" i="65"/>
  <c r="Q35" i="69" s="1" a="1"/>
  <c r="Q35" i="69" s="1"/>
  <c r="V64" i="65"/>
  <c r="Q36" i="69" s="1" a="1"/>
  <c r="Q36" i="69" s="1"/>
  <c r="M41" i="49" a="1"/>
  <c r="M41" i="49" s="1"/>
  <c r="M31" i="49" s="1"/>
  <c r="M43" i="49" s="1"/>
  <c r="M46" i="49" s="1"/>
  <c r="R71" i="42"/>
  <c r="R75" i="42" s="1"/>
  <c r="M50" i="40"/>
  <c r="M51" i="40" s="1"/>
  <c r="K50" i="40"/>
  <c r="K51" i="40" s="1"/>
  <c r="V69" i="42" l="1"/>
  <c r="U71" i="42"/>
  <c r="U75" i="42" s="1"/>
  <c r="U76" i="42" s="1"/>
  <c r="N40" i="49" a="1"/>
  <c r="N40" i="49" s="1"/>
  <c r="O40" i="49" a="1"/>
  <c r="O40" i="49" s="1"/>
  <c r="T70" i="42"/>
  <c r="S71" i="42"/>
  <c r="S75" i="42" s="1"/>
  <c r="N41" i="49" a="1"/>
  <c r="N41" i="49" s="1"/>
  <c r="N31" i="49" s="1"/>
  <c r="N43" i="49" s="1"/>
  <c r="N46" i="49" s="1"/>
  <c r="U37" i="40" a="1"/>
  <c r="U37" i="40" s="1"/>
  <c r="R76" i="42"/>
  <c r="R37" i="40" a="1"/>
  <c r="R37" i="40" s="1"/>
  <c r="H25" i="50"/>
  <c r="V70" i="42" l="1"/>
  <c r="Q41" i="49" s="1" a="1"/>
  <c r="Q41" i="49" s="1"/>
  <c r="Q40" i="49" a="1"/>
  <c r="Q40" i="49" s="1"/>
  <c r="O41" i="49" a="1"/>
  <c r="O41" i="49" s="1"/>
  <c r="O31" i="49" s="1"/>
  <c r="O43" i="49" s="1"/>
  <c r="O46" i="49" s="1"/>
  <c r="T71" i="42"/>
  <c r="S37" i="40" a="1"/>
  <c r="S37" i="40" s="1"/>
  <c r="S76" i="42"/>
  <c r="U47" i="40"/>
  <c r="O23" i="50" s="1" a="1"/>
  <c r="O23" i="50" s="1"/>
  <c r="U45" i="40"/>
  <c r="O22" i="50" s="1" a="1"/>
  <c r="O22" i="50" s="1"/>
  <c r="R47" i="40"/>
  <c r="L23" i="50" s="1" a="1"/>
  <c r="L23" i="50" s="1"/>
  <c r="R45" i="40"/>
  <c r="L22" i="50" s="1" a="1"/>
  <c r="L22" i="50" s="1"/>
  <c r="H26" i="50"/>
  <c r="V71" i="42" l="1"/>
  <c r="V75" i="42" s="1"/>
  <c r="Q31" i="49"/>
  <c r="Q43" i="49" s="1"/>
  <c r="Q46" i="49" s="1"/>
  <c r="T75" i="42"/>
  <c r="L22" i="73" a="1"/>
  <c r="L22" i="73" s="1"/>
  <c r="L18" i="73" a="1"/>
  <c r="L18" i="73" s="1"/>
  <c r="I18" i="73" a="1"/>
  <c r="I18" i="73" s="1"/>
  <c r="M22" i="73" a="1"/>
  <c r="M22" i="73" s="1"/>
  <c r="J18" i="73" a="1"/>
  <c r="J18" i="73" s="1"/>
  <c r="J22" i="73" a="1"/>
  <c r="J22" i="73" s="1"/>
  <c r="K22" i="73" a="1"/>
  <c r="K22" i="73" s="1"/>
  <c r="N22" i="73" a="1"/>
  <c r="N22" i="73" s="1"/>
  <c r="I22" i="73" a="1"/>
  <c r="I22" i="73" s="1"/>
  <c r="M18" i="73" a="1"/>
  <c r="M18" i="73" s="1"/>
  <c r="K18" i="73" a="1"/>
  <c r="K18" i="73" s="1"/>
  <c r="N18" i="73" a="1"/>
  <c r="N18" i="73" s="1"/>
  <c r="S45" i="40"/>
  <c r="M22" i="50" s="1" a="1"/>
  <c r="M22" i="50" s="1"/>
  <c r="S47" i="40"/>
  <c r="M23" i="50" s="1" a="1"/>
  <c r="M23" i="50" s="1"/>
  <c r="V37" i="40" l="1" a="1"/>
  <c r="V37" i="40" s="1"/>
  <c r="V76" i="42"/>
  <c r="K69" i="73"/>
  <c r="K51" i="73"/>
  <c r="K47" i="73"/>
  <c r="K65" i="73"/>
  <c r="K70" i="73"/>
  <c r="K56" i="73"/>
  <c r="K63" i="73"/>
  <c r="K49" i="73"/>
  <c r="K57" i="73"/>
  <c r="K54" i="73"/>
  <c r="K48" i="73"/>
  <c r="K64" i="73"/>
  <c r="K53" i="73"/>
  <c r="K61" i="73"/>
  <c r="K50" i="73"/>
  <c r="K71" i="73"/>
  <c r="K62" i="73"/>
  <c r="K52" i="73"/>
  <c r="K46" i="73"/>
  <c r="K68" i="73"/>
  <c r="K55" i="73"/>
  <c r="K59" i="73"/>
  <c r="K66" i="73"/>
  <c r="K60" i="73"/>
  <c r="K67" i="73"/>
  <c r="K72" i="73"/>
  <c r="K58" i="73"/>
  <c r="J48" i="73"/>
  <c r="J52" i="73"/>
  <c r="J64" i="73"/>
  <c r="J72" i="73"/>
  <c r="J56" i="73"/>
  <c r="J46" i="73"/>
  <c r="J65" i="73"/>
  <c r="J49" i="73"/>
  <c r="J66" i="73"/>
  <c r="J51" i="73"/>
  <c r="J71" i="73"/>
  <c r="J53" i="73"/>
  <c r="J70" i="73"/>
  <c r="J63" i="73"/>
  <c r="J57" i="73"/>
  <c r="J60" i="73"/>
  <c r="J67" i="73"/>
  <c r="J50" i="73"/>
  <c r="J54" i="73"/>
  <c r="J68" i="73"/>
  <c r="J47" i="73"/>
  <c r="J58" i="73"/>
  <c r="J61" i="73"/>
  <c r="J69" i="73"/>
  <c r="J62" i="73"/>
  <c r="J59" i="73"/>
  <c r="J55" i="73"/>
  <c r="S50" i="73"/>
  <c r="S46" i="73"/>
  <c r="V46" i="40" s="1"/>
  <c r="P21" i="50" s="1" a="1"/>
  <c r="P21" i="50" s="1"/>
  <c r="S66" i="73"/>
  <c r="S58" i="73"/>
  <c r="S54" i="73"/>
  <c r="S67" i="73"/>
  <c r="S47" i="73"/>
  <c r="S48" i="73"/>
  <c r="S64" i="73"/>
  <c r="S53" i="73"/>
  <c r="S51" i="73"/>
  <c r="S68" i="73"/>
  <c r="S62" i="73"/>
  <c r="S72" i="73"/>
  <c r="S57" i="73"/>
  <c r="S59" i="73"/>
  <c r="S61" i="73"/>
  <c r="S69" i="73"/>
  <c r="S52" i="73"/>
  <c r="S70" i="73"/>
  <c r="S60" i="73"/>
  <c r="S56" i="73"/>
  <c r="S55" i="73"/>
  <c r="S63" i="73"/>
  <c r="S71" i="73"/>
  <c r="S49" i="73"/>
  <c r="S65" i="73"/>
  <c r="M58" i="73"/>
  <c r="M61" i="73"/>
  <c r="M69" i="73"/>
  <c r="M68" i="73"/>
  <c r="M48" i="73"/>
  <c r="M51" i="73"/>
  <c r="M62" i="73"/>
  <c r="M70" i="73"/>
  <c r="M56" i="73"/>
  <c r="M63" i="73"/>
  <c r="M71" i="73"/>
  <c r="M65" i="73"/>
  <c r="M67" i="73"/>
  <c r="M59" i="73"/>
  <c r="M53" i="73"/>
  <c r="M54" i="73"/>
  <c r="M47" i="73"/>
  <c r="M52" i="73"/>
  <c r="M64" i="73"/>
  <c r="M72" i="73"/>
  <c r="M60" i="73"/>
  <c r="M46" i="73"/>
  <c r="M49" i="73"/>
  <c r="M55" i="73"/>
  <c r="M66" i="73"/>
  <c r="M57" i="73"/>
  <c r="M50" i="73"/>
  <c r="I57" i="73"/>
  <c r="I54" i="73"/>
  <c r="I67" i="73"/>
  <c r="I46" i="73"/>
  <c r="R46" i="40" s="1"/>
  <c r="L21" i="50" s="1" a="1"/>
  <c r="L21" i="50" s="1"/>
  <c r="I53" i="73"/>
  <c r="I68" i="73"/>
  <c r="I61" i="73"/>
  <c r="I65" i="73"/>
  <c r="I66" i="73"/>
  <c r="I50" i="73"/>
  <c r="I69" i="73"/>
  <c r="I56" i="73"/>
  <c r="I49" i="73"/>
  <c r="I47" i="73"/>
  <c r="I58" i="73"/>
  <c r="I62" i="73"/>
  <c r="I70" i="73"/>
  <c r="I55" i="73"/>
  <c r="I51" i="73"/>
  <c r="I71" i="73"/>
  <c r="I63" i="73"/>
  <c r="I48" i="73"/>
  <c r="I59" i="73"/>
  <c r="I64" i="73"/>
  <c r="I72" i="73"/>
  <c r="I60" i="73"/>
  <c r="I52" i="73"/>
  <c r="R52" i="73"/>
  <c r="R61" i="73"/>
  <c r="R69" i="73"/>
  <c r="R49" i="73"/>
  <c r="R60" i="73"/>
  <c r="R62" i="73"/>
  <c r="R70" i="73"/>
  <c r="R53" i="73"/>
  <c r="R71" i="73"/>
  <c r="R47" i="73"/>
  <c r="R57" i="73"/>
  <c r="R63" i="73"/>
  <c r="R67" i="73"/>
  <c r="R50" i="73"/>
  <c r="R46" i="73"/>
  <c r="U46" i="40" s="1"/>
  <c r="O21" i="50" s="1" a="1"/>
  <c r="O21" i="50" s="1"/>
  <c r="R64" i="73"/>
  <c r="R72" i="73"/>
  <c r="R58" i="73"/>
  <c r="R54" i="73"/>
  <c r="R65" i="73"/>
  <c r="R59" i="73"/>
  <c r="R56" i="73"/>
  <c r="R51" i="73"/>
  <c r="R48" i="73"/>
  <c r="R66" i="73"/>
  <c r="R68" i="73"/>
  <c r="R55" i="73"/>
  <c r="P51" i="73"/>
  <c r="P58" i="73"/>
  <c r="P62" i="73"/>
  <c r="P70" i="73"/>
  <c r="P59" i="73"/>
  <c r="P47" i="73"/>
  <c r="P63" i="73"/>
  <c r="P71" i="73"/>
  <c r="P52" i="73"/>
  <c r="P55" i="73"/>
  <c r="P64" i="73"/>
  <c r="P72" i="73"/>
  <c r="P50" i="73"/>
  <c r="P48" i="73"/>
  <c r="P65" i="73"/>
  <c r="P56" i="73"/>
  <c r="P53" i="73"/>
  <c r="P66" i="73"/>
  <c r="P60" i="73"/>
  <c r="P49" i="73"/>
  <c r="P67" i="73"/>
  <c r="P46" i="73"/>
  <c r="P57" i="73"/>
  <c r="P68" i="73"/>
  <c r="P54" i="73"/>
  <c r="P61" i="73"/>
  <c r="P69" i="73"/>
  <c r="O58" i="73"/>
  <c r="O47" i="73"/>
  <c r="O68" i="73"/>
  <c r="O52" i="73"/>
  <c r="O57" i="73"/>
  <c r="O71" i="73"/>
  <c r="O53" i="73"/>
  <c r="O56" i="73"/>
  <c r="O48" i="73"/>
  <c r="O65" i="73"/>
  <c r="O49" i="73"/>
  <c r="O60" i="73"/>
  <c r="O64" i="73"/>
  <c r="O61" i="73"/>
  <c r="O67" i="73"/>
  <c r="O50" i="73"/>
  <c r="O46" i="73"/>
  <c r="O51" i="73"/>
  <c r="O54" i="73"/>
  <c r="O72" i="73"/>
  <c r="O59" i="73"/>
  <c r="O63" i="73"/>
  <c r="O55" i="73"/>
  <c r="O69" i="73"/>
  <c r="O70" i="73"/>
  <c r="O62" i="73"/>
  <c r="O66" i="73"/>
  <c r="T76" i="42"/>
  <c r="T37" i="40" a="1"/>
  <c r="T37" i="40" s="1"/>
  <c r="A36" i="42"/>
  <c r="A37" i="42" s="1"/>
  <c r="F37" i="42" s="1"/>
  <c r="Q53" i="73" l="1"/>
  <c r="L63" i="73"/>
  <c r="V47" i="40"/>
  <c r="P23" i="50" s="1" a="1"/>
  <c r="P23" i="50" s="1"/>
  <c r="V45" i="40"/>
  <c r="P22" i="50" s="1" a="1"/>
  <c r="P22" i="50" s="1"/>
  <c r="L66" i="73"/>
  <c r="Q62" i="73"/>
  <c r="L71" i="73"/>
  <c r="Q57" i="73"/>
  <c r="L58" i="73"/>
  <c r="L46" i="73"/>
  <c r="S46" i="40" s="1"/>
  <c r="M21" i="50" s="1" a="1"/>
  <c r="M21" i="50" s="1"/>
  <c r="L60" i="73"/>
  <c r="L49" i="73"/>
  <c r="Q46" i="73"/>
  <c r="T46" i="40" s="1"/>
  <c r="N21" i="50" s="1" a="1"/>
  <c r="N21" i="50" s="1"/>
  <c r="Q59" i="73"/>
  <c r="Q51" i="73"/>
  <c r="L50" i="73"/>
  <c r="Q60" i="73"/>
  <c r="Q67" i="73"/>
  <c r="Q48" i="73"/>
  <c r="L59" i="73"/>
  <c r="L61" i="73"/>
  <c r="L56" i="73"/>
  <c r="Q49" i="73"/>
  <c r="Q72" i="73"/>
  <c r="Q65" i="73"/>
  <c r="Q68" i="73"/>
  <c r="L55" i="73"/>
  <c r="L53" i="73"/>
  <c r="L70" i="73"/>
  <c r="Q50" i="73"/>
  <c r="Q64" i="73"/>
  <c r="Q71" i="73"/>
  <c r="Q69" i="73"/>
  <c r="L68" i="73"/>
  <c r="L64" i="73"/>
  <c r="L65" i="73"/>
  <c r="Q63" i="73"/>
  <c r="L48" i="73"/>
  <c r="L47" i="73"/>
  <c r="Q52" i="73"/>
  <c r="Q61" i="73"/>
  <c r="Q66" i="73"/>
  <c r="Q47" i="73"/>
  <c r="Q56" i="73"/>
  <c r="Q58" i="73"/>
  <c r="L72" i="73"/>
  <c r="L52" i="73"/>
  <c r="L54" i="73"/>
  <c r="L51" i="73"/>
  <c r="T47" i="40"/>
  <c r="N23" i="50" s="1" a="1"/>
  <c r="N23" i="50" s="1"/>
  <c r="T45" i="40"/>
  <c r="N22" i="50" s="1" a="1"/>
  <c r="N22" i="50" s="1"/>
  <c r="Q55" i="73"/>
  <c r="Q54" i="73"/>
  <c r="Q70" i="73"/>
  <c r="L67" i="73"/>
  <c r="L62" i="73"/>
  <c r="L57" i="73"/>
  <c r="L69" i="73"/>
  <c r="F36" i="42"/>
  <c r="A42" i="42"/>
  <c r="A43" i="42" s="1"/>
  <c r="F43" i="42" s="1"/>
  <c r="F42" i="42" l="1"/>
  <c r="G44" i="42" s="1"/>
  <c r="A44" i="42" l="1"/>
  <c r="F44" i="42" l="1"/>
  <c r="G45" i="42" s="1"/>
  <c r="A45" i="42"/>
  <c r="F45" i="42" l="1"/>
  <c r="A48" i="42" l="1"/>
  <c r="F48" i="42" l="1"/>
  <c r="G52" i="42" l="1"/>
  <c r="A49" i="42"/>
  <c r="F49" i="42" l="1"/>
  <c r="A50" i="42"/>
  <c r="F50" i="42" l="1"/>
  <c r="A51" i="42"/>
  <c r="F51" i="42" l="1"/>
  <c r="A52" i="42"/>
  <c r="A53" i="42" l="1"/>
  <c r="F52" i="42"/>
  <c r="G53" i="42" s="1"/>
  <c r="F53" i="42" l="1"/>
  <c r="G54" i="42" s="1"/>
  <c r="A54" i="42"/>
  <c r="F54" i="42" l="1"/>
  <c r="G55" i="42" s="1"/>
  <c r="A55" i="42"/>
  <c r="F55" i="42" l="1"/>
  <c r="G57" i="42" s="1"/>
  <c r="A57" i="42"/>
  <c r="A61" i="42" l="1"/>
  <c r="F57" i="42"/>
  <c r="G61" i="42" l="1"/>
  <c r="G62" i="42"/>
  <c r="G63" i="42"/>
  <c r="F61" i="42"/>
  <c r="A62" i="42"/>
  <c r="F62" i="42" l="1"/>
  <c r="A63" i="42"/>
  <c r="F63" i="42" l="1"/>
  <c r="A64" i="42"/>
  <c r="F64" i="42" l="1"/>
  <c r="A65" i="42"/>
  <c r="F65" i="42" l="1"/>
  <c r="A66" i="42"/>
  <c r="F66" i="42" l="1"/>
  <c r="A67" i="42"/>
  <c r="F67" i="42" l="1"/>
  <c r="A68" i="42"/>
  <c r="F68" i="42" l="1"/>
  <c r="D85" i="42" s="1"/>
  <c r="A69" i="42"/>
  <c r="G69" i="42" l="1"/>
  <c r="F69" i="42"/>
  <c r="A70" i="42" l="1"/>
  <c r="A71" i="42" l="1"/>
  <c r="F70" i="42"/>
  <c r="F71" i="42" l="1"/>
  <c r="G75" i="42" s="1"/>
  <c r="A75" i="42"/>
  <c r="G71" i="42"/>
  <c r="F75" i="42" l="1"/>
  <c r="G76" i="42" s="1"/>
  <c r="A76" i="42"/>
  <c r="F76" i="42" s="1"/>
  <c r="E18" i="45" l="1"/>
  <c r="N26" i="45" l="1" a="1"/>
  <c r="N26" i="45" s="1"/>
  <c r="E26" i="45"/>
  <c r="N28" i="45" a="1"/>
  <c r="N28" i="45" s="1"/>
  <c r="E28" i="45"/>
  <c r="P27" i="45" a="1"/>
  <c r="P27" i="45" s="1"/>
  <c r="E27" i="45"/>
  <c r="N20" i="45" a="1"/>
  <c r="N20" i="45" s="1"/>
  <c r="E20" i="45"/>
  <c r="N19" i="45" a="1"/>
  <c r="N19" i="45" s="1"/>
  <c r="E19" i="45"/>
  <c r="O17" i="45" a="1"/>
  <c r="O17" i="45" s="1"/>
  <c r="E17" i="45"/>
  <c r="N27" i="45" l="1" a="1"/>
  <c r="N27" i="45" s="1"/>
  <c r="P28" i="45" a="1"/>
  <c r="P28" i="45" s="1"/>
  <c r="O28" i="45" a="1"/>
  <c r="O28" i="45" s="1"/>
  <c r="Q27" i="45" a="1"/>
  <c r="Q27" i="45" s="1"/>
  <c r="Q28" i="45" a="1"/>
  <c r="Q28" i="45" s="1"/>
  <c r="O26" i="45" a="1"/>
  <c r="O26" i="45" s="1"/>
  <c r="Q26" i="45" a="1"/>
  <c r="Q26" i="45" s="1"/>
  <c r="P26" i="45" a="1"/>
  <c r="P26" i="45" s="1"/>
  <c r="M27" i="45" a="1"/>
  <c r="M27" i="45" s="1"/>
  <c r="M26" i="45" a="1"/>
  <c r="M26" i="45" s="1"/>
  <c r="M28" i="45" a="1"/>
  <c r="M28" i="45" s="1"/>
  <c r="Q19" i="45" a="1"/>
  <c r="Q19" i="45" s="1"/>
  <c r="Q20" i="45" a="1"/>
  <c r="Q20" i="45" s="1"/>
  <c r="P19" i="45" a="1"/>
  <c r="P19" i="45" s="1"/>
  <c r="O20" i="45" a="1"/>
  <c r="O20" i="45" s="1"/>
  <c r="M20" i="45" a="1"/>
  <c r="M20" i="45" s="1"/>
  <c r="P20" i="45" a="1"/>
  <c r="P20" i="45" s="1"/>
  <c r="M19" i="45" a="1"/>
  <c r="M19" i="45" s="1"/>
  <c r="O19" i="45" a="1"/>
  <c r="O19" i="45" s="1"/>
  <c r="M18" i="45" a="1"/>
  <c r="M18" i="45" s="1"/>
  <c r="Q18" i="45" a="1"/>
  <c r="Q18" i="45" s="1"/>
  <c r="N18" i="45" a="1"/>
  <c r="N18" i="45" s="1"/>
  <c r="P17" i="45" a="1"/>
  <c r="P17" i="45" s="1"/>
  <c r="Q17" i="45" a="1"/>
  <c r="Q17" i="45" s="1"/>
  <c r="N17" i="45" a="1"/>
  <c r="N17" i="45" s="1"/>
  <c r="M17" i="45" a="1"/>
  <c r="M17" i="45" s="1"/>
  <c r="O27" i="45" a="1"/>
  <c r="O27" i="45" s="1"/>
  <c r="U46" i="43"/>
  <c r="P18" i="45" a="1"/>
  <c r="P18" i="45" s="1"/>
  <c r="S46" i="43"/>
  <c r="O18" i="45" a="1"/>
  <c r="O18" i="45" s="1"/>
  <c r="T46" i="43"/>
  <c r="V46" i="43"/>
  <c r="R46" i="43"/>
  <c r="S47" i="43" l="1"/>
  <c r="P21" i="45" a="1"/>
  <c r="P21" i="45" s="1"/>
  <c r="P15" i="45" s="1"/>
  <c r="M21" i="45" a="1"/>
  <c r="M21" i="45" s="1"/>
  <c r="M15" i="45" s="1"/>
  <c r="Q21" i="45" a="1"/>
  <c r="Q21" i="45" s="1"/>
  <c r="Q15" i="45" s="1"/>
  <c r="O21" i="45" a="1"/>
  <c r="O21" i="45" s="1"/>
  <c r="O15" i="45" s="1"/>
  <c r="U47" i="43"/>
  <c r="T47" i="43"/>
  <c r="N21" i="45" a="1"/>
  <c r="N21" i="45" s="1"/>
  <c r="N15" i="45" s="1"/>
  <c r="V47" i="43"/>
  <c r="R47" i="43"/>
  <c r="I34" i="130" l="1"/>
  <c r="I35" i="130" s="1"/>
  <c r="V51" i="43"/>
  <c r="V52" i="43"/>
  <c r="Q25" i="45" s="1" a="1"/>
  <c r="Q25" i="45" s="1"/>
  <c r="T51" i="43"/>
  <c r="T52" i="43"/>
  <c r="O25" i="45" s="1" a="1"/>
  <c r="O25" i="45" s="1"/>
  <c r="U51" i="43"/>
  <c r="U52" i="43"/>
  <c r="P25" i="45" s="1" a="1"/>
  <c r="P25" i="45" s="1"/>
  <c r="S51" i="43"/>
  <c r="S52" i="43"/>
  <c r="N25" i="45" s="1" a="1"/>
  <c r="N25" i="45" s="1"/>
  <c r="R51" i="43"/>
  <c r="R52" i="43"/>
  <c r="M25" i="45" s="1" a="1"/>
  <c r="M25" i="45" s="1"/>
  <c r="I34" i="7"/>
  <c r="I35" i="7" s="1"/>
  <c r="I77" i="7" s="1"/>
  <c r="E57" i="7" s="1"/>
  <c r="F57" i="7" s="1"/>
  <c r="I36" i="130" l="1"/>
  <c r="I77" i="130"/>
  <c r="E57" i="130" s="1"/>
  <c r="F57" i="130" s="1"/>
  <c r="G57" i="130" s="1"/>
  <c r="H57" i="130" s="1"/>
  <c r="V56" i="43"/>
  <c r="Q29" i="45" s="1" a="1"/>
  <c r="Q29" i="45" s="1"/>
  <c r="S56" i="43"/>
  <c r="N29" i="45" s="1" a="1"/>
  <c r="N29" i="45" s="1"/>
  <c r="U56" i="43"/>
  <c r="P29" i="45" s="1" a="1"/>
  <c r="P29" i="45" s="1"/>
  <c r="T56" i="43"/>
  <c r="O29" i="45" s="1" a="1"/>
  <c r="O29" i="45" s="1"/>
  <c r="R56" i="43"/>
  <c r="M29" i="45" s="1" a="1"/>
  <c r="M29" i="45" s="1"/>
  <c r="P24" i="45" a="1"/>
  <c r="P24" i="45" s="1"/>
  <c r="N24" i="45" a="1"/>
  <c r="N24" i="45" s="1"/>
  <c r="O24" i="45" a="1"/>
  <c r="O24" i="45" s="1"/>
  <c r="Q24" i="45" a="1"/>
  <c r="Q24" i="45" s="1"/>
  <c r="M24" i="45" a="1"/>
  <c r="M24" i="45" s="1"/>
  <c r="I36" i="7"/>
  <c r="J20" i="73" l="1" a="1"/>
  <c r="J20" i="73" s="1"/>
  <c r="L20" i="73" a="1"/>
  <c r="L20" i="73" s="1"/>
  <c r="L24" i="73" a="1"/>
  <c r="L24" i="73" s="1"/>
  <c r="M24" i="73" a="1"/>
  <c r="M24" i="73" s="1"/>
  <c r="K20" i="73" a="1"/>
  <c r="K20" i="73" s="1"/>
  <c r="I24" i="73" a="1"/>
  <c r="I24" i="73" s="1"/>
  <c r="M20" i="73" a="1"/>
  <c r="M20" i="73" s="1"/>
  <c r="I20" i="73" a="1"/>
  <c r="I20" i="73" s="1"/>
  <c r="K24" i="73" a="1"/>
  <c r="K24" i="73" s="1"/>
  <c r="J24" i="73" a="1"/>
  <c r="J24" i="73" s="1"/>
  <c r="N20" i="73" a="1"/>
  <c r="N20" i="73" s="1"/>
  <c r="N24" i="73" a="1"/>
  <c r="N24" i="73" s="1"/>
  <c r="G57" i="7"/>
  <c r="H57" i="7" s="1"/>
  <c r="AS46" i="73" l="1"/>
  <c r="AS47" i="73"/>
  <c r="AS48" i="73"/>
  <c r="AS49" i="73"/>
  <c r="AS50" i="73"/>
  <c r="AS51" i="73"/>
  <c r="AS52" i="73"/>
  <c r="AS53" i="73"/>
  <c r="AS54" i="73"/>
  <c r="AS55" i="73"/>
  <c r="AS56" i="73"/>
  <c r="AS57" i="73"/>
  <c r="AS58" i="73"/>
  <c r="AS59" i="73"/>
  <c r="AS60" i="73"/>
  <c r="AS61" i="73"/>
  <c r="AS62" i="73"/>
  <c r="AS63" i="73"/>
  <c r="AS64" i="73"/>
  <c r="AS65" i="73"/>
  <c r="AS66" i="73"/>
  <c r="AS67" i="73"/>
  <c r="AS68" i="73"/>
  <c r="AS69" i="73"/>
  <c r="AS70" i="73"/>
  <c r="AS71" i="73"/>
  <c r="AS72" i="73"/>
  <c r="AR46" i="73"/>
  <c r="AR47" i="73"/>
  <c r="AR48" i="73"/>
  <c r="AR49" i="73"/>
  <c r="AR50" i="73"/>
  <c r="AR51" i="73"/>
  <c r="AR52" i="73"/>
  <c r="AR53" i="73"/>
  <c r="AR54" i="73"/>
  <c r="AR55" i="73"/>
  <c r="AR56" i="73"/>
  <c r="AR57" i="73"/>
  <c r="AR58" i="73"/>
  <c r="AR59" i="73"/>
  <c r="AR60" i="73"/>
  <c r="AR61" i="73"/>
  <c r="AR62" i="73"/>
  <c r="AR63" i="73"/>
  <c r="AR64" i="73"/>
  <c r="AR65" i="73"/>
  <c r="AR66" i="73"/>
  <c r="AR67" i="73"/>
  <c r="AR68" i="73"/>
  <c r="AR69" i="73"/>
  <c r="AR70" i="73"/>
  <c r="AR71" i="73"/>
  <c r="AR72" i="73"/>
  <c r="AP46" i="73"/>
  <c r="AP47" i="73"/>
  <c r="AP48" i="73"/>
  <c r="AP49" i="73"/>
  <c r="AP50" i="73"/>
  <c r="AP51" i="73"/>
  <c r="AP52" i="73"/>
  <c r="AP53" i="73"/>
  <c r="AP54" i="73"/>
  <c r="AP55" i="73"/>
  <c r="AP56" i="73"/>
  <c r="AP57" i="73"/>
  <c r="AP58" i="73"/>
  <c r="AP59" i="73"/>
  <c r="AP60" i="73"/>
  <c r="AP61" i="73"/>
  <c r="AP62" i="73"/>
  <c r="AP63" i="73"/>
  <c r="AP64" i="73"/>
  <c r="AP65" i="73"/>
  <c r="AP66" i="73"/>
  <c r="AP67" i="73"/>
  <c r="AP68" i="73"/>
  <c r="AP69" i="73"/>
  <c r="AP70" i="73"/>
  <c r="AP71" i="73"/>
  <c r="AP72" i="73"/>
  <c r="AO46" i="73"/>
  <c r="AO47" i="73"/>
  <c r="AO67" i="73"/>
  <c r="AO49" i="73"/>
  <c r="AO50" i="73"/>
  <c r="AO70" i="73"/>
  <c r="AO52" i="73"/>
  <c r="AO54" i="73"/>
  <c r="AO56" i="73"/>
  <c r="AO57" i="73"/>
  <c r="AO58" i="73"/>
  <c r="AO60" i="73"/>
  <c r="AO61" i="73"/>
  <c r="AO62" i="73"/>
  <c r="AO64" i="73"/>
  <c r="AO66" i="73"/>
  <c r="AO48" i="73"/>
  <c r="AO68" i="73"/>
  <c r="AO69" i="73"/>
  <c r="AO51" i="73"/>
  <c r="AO71" i="73"/>
  <c r="AO72" i="73"/>
  <c r="AO53" i="73"/>
  <c r="AO55" i="73"/>
  <c r="AO59" i="73"/>
  <c r="AO63" i="73"/>
  <c r="AO65" i="73"/>
  <c r="AM46" i="73"/>
  <c r="AM47" i="73"/>
  <c r="AM48" i="73"/>
  <c r="AM49" i="73"/>
  <c r="AM50" i="73"/>
  <c r="AM51" i="73"/>
  <c r="AM52" i="73"/>
  <c r="AM53" i="73"/>
  <c r="AM54" i="73"/>
  <c r="AM55" i="73"/>
  <c r="AM56" i="73"/>
  <c r="AM57" i="73"/>
  <c r="AM58" i="73"/>
  <c r="AM59" i="73"/>
  <c r="AM60" i="73"/>
  <c r="AM61" i="73"/>
  <c r="AM62" i="73"/>
  <c r="AM63" i="73"/>
  <c r="AM64" i="73"/>
  <c r="AM65" i="73"/>
  <c r="AM66" i="73"/>
  <c r="AM67" i="73"/>
  <c r="AM68" i="73"/>
  <c r="AM69" i="73"/>
  <c r="AM70" i="73"/>
  <c r="AM71" i="73"/>
  <c r="AM72" i="73"/>
  <c r="AK46" i="73"/>
  <c r="AK47" i="73"/>
  <c r="AK48" i="73"/>
  <c r="AK49" i="73"/>
  <c r="AK50" i="73"/>
  <c r="AK51" i="73"/>
  <c r="AK52" i="73"/>
  <c r="AK54" i="73"/>
  <c r="AK56" i="73"/>
  <c r="AK55" i="73"/>
  <c r="AK57" i="73"/>
  <c r="AK60" i="73"/>
  <c r="AK63" i="73"/>
  <c r="AK65" i="73"/>
  <c r="AK67" i="73"/>
  <c r="AK68" i="73"/>
  <c r="AK58" i="73"/>
  <c r="AK61" i="73"/>
  <c r="AK62" i="73"/>
  <c r="AK64" i="73"/>
  <c r="AK66" i="73"/>
  <c r="AK59" i="73"/>
  <c r="AK71" i="73"/>
  <c r="AK72" i="73"/>
  <c r="AK53" i="73"/>
  <c r="AK70" i="73"/>
  <c r="AK69" i="73"/>
  <c r="AJ46" i="73"/>
  <c r="AJ47" i="73"/>
  <c r="AJ48" i="73"/>
  <c r="AJ49" i="73"/>
  <c r="AJ50" i="73"/>
  <c r="AJ51" i="73"/>
  <c r="AJ52" i="73"/>
  <c r="AJ53" i="73"/>
  <c r="AJ54" i="73"/>
  <c r="AJ55" i="73"/>
  <c r="AJ56" i="73"/>
  <c r="AJ57" i="73"/>
  <c r="AJ58" i="73"/>
  <c r="AJ59" i="73"/>
  <c r="AJ60" i="73"/>
  <c r="AJ61" i="73"/>
  <c r="AJ62" i="73"/>
  <c r="AJ63" i="73"/>
  <c r="AJ64" i="73"/>
  <c r="AJ65" i="73"/>
  <c r="AJ66" i="73"/>
  <c r="AJ67" i="73"/>
  <c r="AJ68" i="73"/>
  <c r="AJ69" i="73"/>
  <c r="AJ70" i="73"/>
  <c r="AJ71" i="73"/>
  <c r="AJ72" i="73"/>
  <c r="AI46" i="73"/>
  <c r="AI47" i="73"/>
  <c r="AI48" i="73"/>
  <c r="AI49" i="73"/>
  <c r="AI50" i="73"/>
  <c r="AI51" i="73"/>
  <c r="AI52" i="73"/>
  <c r="AI53" i="73"/>
  <c r="AI54" i="73"/>
  <c r="AI55" i="73"/>
  <c r="AI56" i="73"/>
  <c r="AI57" i="73"/>
  <c r="AI58" i="73"/>
  <c r="AI59" i="73"/>
  <c r="AI60" i="73"/>
  <c r="AI61" i="73"/>
  <c r="AI62" i="73"/>
  <c r="AI63" i="73"/>
  <c r="AI64" i="73"/>
  <c r="AI65" i="73"/>
  <c r="AI66" i="73"/>
  <c r="AI67" i="73"/>
  <c r="AI68" i="73"/>
  <c r="AI69" i="73"/>
  <c r="AI70" i="73"/>
  <c r="AI71" i="73"/>
  <c r="AI72" i="73"/>
  <c r="AX35" i="35"/>
  <c r="BE35" i="35"/>
  <c r="BC35" i="35"/>
  <c r="AV35" i="35"/>
  <c r="AY35" i="35"/>
  <c r="AZ35" i="35"/>
  <c r="AW35" i="35"/>
  <c r="BB35" i="35"/>
  <c r="BD35" i="35"/>
  <c r="BF35" i="35"/>
  <c r="BA35" i="35"/>
  <c r="AK35" i="35"/>
  <c r="S35" i="35"/>
  <c r="AM35" i="35"/>
  <c r="AR35" i="35"/>
  <c r="AB35" i="35"/>
  <c r="M35" i="35"/>
  <c r="AQ35" i="35"/>
  <c r="AA35" i="35"/>
  <c r="AE35" i="35"/>
  <c r="AO35" i="35"/>
  <c r="AP35" i="35"/>
  <c r="AS35" i="35"/>
  <c r="AH35" i="35"/>
  <c r="V35" i="35"/>
  <c r="AF35" i="35"/>
  <c r="AI35" i="35"/>
  <c r="W35" i="35"/>
  <c r="AN35" i="35"/>
  <c r="AD35" i="35"/>
  <c r="AG35" i="35"/>
  <c r="AU35" i="35"/>
  <c r="K35" i="35"/>
  <c r="Y35" i="35"/>
  <c r="P35" i="35"/>
  <c r="J35" i="35"/>
  <c r="Z35" i="35"/>
  <c r="U35" i="35"/>
  <c r="I35" i="35"/>
  <c r="AT35" i="35"/>
  <c r="N35" i="35"/>
  <c r="AJ35" i="35"/>
  <c r="AC35" i="35"/>
  <c r="R35" i="35"/>
  <c r="O35" i="35"/>
  <c r="X35" i="35"/>
  <c r="AL35" i="35"/>
  <c r="Q35" i="35"/>
  <c r="L35" i="35"/>
  <c r="T35" i="35"/>
  <c r="L30" i="50" l="1" a="1"/>
  <c r="L30" i="50" s="1"/>
  <c r="P30" i="50" l="1" a="1"/>
  <c r="P30" i="50" s="1"/>
  <c r="N30" i="50" a="1"/>
  <c r="N30" i="50" s="1"/>
  <c r="O30" i="50" a="1"/>
  <c r="O30" i="50" s="1"/>
  <c r="M30" i="50" a="1"/>
  <c r="M30" i="50" s="1"/>
  <c r="P16" i="50" a="1"/>
  <c r="P16" i="50" s="1"/>
  <c r="L31" i="50" a="1"/>
  <c r="L31" i="50" s="1"/>
  <c r="P31" i="50" a="1"/>
  <c r="P31" i="50" s="1"/>
  <c r="N31" i="50" a="1"/>
  <c r="N31" i="50" s="1"/>
  <c r="O31" i="50" a="1"/>
  <c r="O31" i="50" s="1"/>
  <c r="M31" i="50" a="1"/>
  <c r="M31" i="50" s="1"/>
  <c r="P18" i="50" a="1"/>
  <c r="P18" i="50" s="1"/>
  <c r="P19" i="50" a="1"/>
  <c r="P19" i="50" s="1"/>
  <c r="P17" i="50" a="1"/>
  <c r="P17" i="50" s="1"/>
  <c r="L20" i="50" l="1" a="1"/>
  <c r="L20" i="50" s="1"/>
  <c r="L17" i="50" a="1"/>
  <c r="L17" i="50" s="1"/>
  <c r="O17" i="50" a="1"/>
  <c r="O17" i="50" s="1"/>
  <c r="M17" i="50" a="1"/>
  <c r="M17" i="50" s="1"/>
  <c r="M19" i="50" a="1"/>
  <c r="M19" i="50" s="1"/>
  <c r="N19" i="50" a="1"/>
  <c r="N19" i="50" s="1"/>
  <c r="L19" i="50" a="1"/>
  <c r="L19" i="50" s="1"/>
  <c r="N17" i="50" a="1"/>
  <c r="N17" i="50" s="1"/>
  <c r="O18" i="50" a="1"/>
  <c r="O18" i="50" s="1"/>
  <c r="N18" i="50" a="1"/>
  <c r="N18" i="50" s="1"/>
  <c r="M18" i="50" a="1"/>
  <c r="M18" i="50" s="1"/>
  <c r="L18" i="50" a="1"/>
  <c r="L18" i="50" s="1"/>
  <c r="O19" i="50" a="1"/>
  <c r="O19" i="50" s="1"/>
  <c r="O16" i="50" a="1"/>
  <c r="O16" i="50" s="1"/>
  <c r="N16" i="50" a="1"/>
  <c r="N16" i="50" s="1"/>
  <c r="M16" i="50" a="1"/>
  <c r="M16" i="50" s="1"/>
  <c r="L16" i="50" a="1"/>
  <c r="L16" i="50" s="1"/>
  <c r="P25" i="50"/>
  <c r="P26" i="50" s="1"/>
  <c r="S50" i="40"/>
  <c r="U50" i="40"/>
  <c r="U51" i="40" s="1"/>
  <c r="T50" i="40"/>
  <c r="R50" i="40"/>
  <c r="R51" i="40" s="1"/>
  <c r="V50" i="40"/>
  <c r="V51" i="40" s="1"/>
  <c r="S51" i="40" l="1"/>
  <c r="L25" i="50"/>
  <c r="L26" i="50" s="1"/>
  <c r="O25" i="50"/>
  <c r="O26" i="50" s="1"/>
  <c r="M25" i="50"/>
  <c r="M26" i="50" s="1"/>
  <c r="N25" i="50"/>
  <c r="N26" i="50" s="1"/>
  <c r="T51" i="40"/>
  <c r="R69" i="65" l="1"/>
  <c r="M42" i="69" l="1" a="1"/>
  <c r="M42" i="69" s="1"/>
  <c r="R71" i="65"/>
  <c r="M43" i="69" s="1" a="1"/>
  <c r="M43" i="69" s="1"/>
  <c r="M69" i="65" l="1"/>
  <c r="M33" i="69" l="1"/>
  <c r="M45" i="69" s="1"/>
  <c r="M48" i="69" s="1"/>
  <c r="R72" i="65"/>
  <c r="R76" i="65" s="1"/>
  <c r="M71" i="65"/>
  <c r="I43" i="69" s="1" a="1"/>
  <c r="I43" i="69" s="1"/>
  <c r="K71" i="65"/>
  <c r="T69" i="65"/>
  <c r="I42" i="69" a="1"/>
  <c r="I42" i="69" s="1"/>
  <c r="G42" i="69" a="1"/>
  <c r="G42" i="69" s="1"/>
  <c r="I33" i="69" l="1"/>
  <c r="G43" i="69" a="1"/>
  <c r="G43" i="69" s="1"/>
  <c r="T71" i="65"/>
  <c r="O42" i="69" a="1"/>
  <c r="O42" i="69" s="1"/>
  <c r="R37" i="67" a="1"/>
  <c r="R37" i="67" s="1"/>
  <c r="R77" i="65"/>
  <c r="R45" i="67" l="1"/>
  <c r="L22" i="70" s="1" a="1"/>
  <c r="L22" i="70" s="1"/>
  <c r="R48" i="67"/>
  <c r="G33" i="69"/>
  <c r="G45" i="69" s="1"/>
  <c r="G48" i="69" s="1"/>
  <c r="M72" i="65"/>
  <c r="M76" i="65" s="1"/>
  <c r="M77" i="65" s="1"/>
  <c r="AB44" i="73" s="1"/>
  <c r="K72" i="65"/>
  <c r="K76" i="65" s="1"/>
  <c r="K77" i="65" s="1"/>
  <c r="I45" i="69"/>
  <c r="I48" i="69" s="1"/>
  <c r="O43" i="69" a="1"/>
  <c r="O43" i="69" s="1"/>
  <c r="K37" i="67" l="1" a="1"/>
  <c r="K37" i="67" s="1"/>
  <c r="K48" i="67" s="1"/>
  <c r="M37" i="67" a="1"/>
  <c r="M37" i="67" s="1"/>
  <c r="O33" i="69"/>
  <c r="O45" i="69" s="1"/>
  <c r="T72" i="65"/>
  <c r="T76" i="65" s="1"/>
  <c r="T77" i="65" s="1"/>
  <c r="L24" i="70" a="1"/>
  <c r="L24" i="70" s="1"/>
  <c r="K45" i="67" l="1"/>
  <c r="F22" i="70" s="1" a="1"/>
  <c r="F22" i="70" s="1"/>
  <c r="M48" i="67"/>
  <c r="H24" i="70" s="1" a="1"/>
  <c r="H24" i="70" s="1"/>
  <c r="F24" i="70" a="1"/>
  <c r="F24" i="70" s="1"/>
  <c r="T37" i="67" a="1"/>
  <c r="T37" i="67" s="1"/>
  <c r="M45" i="67"/>
  <c r="H22" i="70" s="1" a="1"/>
  <c r="H22" i="70" s="1"/>
  <c r="O48" i="69"/>
  <c r="T45" i="67" l="1"/>
  <c r="N22" i="70" s="1" a="1"/>
  <c r="N22" i="70" s="1"/>
  <c r="T48" i="67"/>
  <c r="N24" i="70" s="1" a="1"/>
  <c r="N24" i="70" s="1"/>
  <c r="L69" i="65" l="1"/>
  <c r="N69" i="65"/>
  <c r="O69" i="65"/>
  <c r="J42" i="69" l="1" a="1"/>
  <c r="J42" i="69" s="1"/>
  <c r="K46" i="67"/>
  <c r="K51" i="67" s="1"/>
  <c r="K52" i="67" s="1"/>
  <c r="X44" i="73"/>
  <c r="Y44" i="73" s="1"/>
  <c r="L46" i="67" s="1"/>
  <c r="G21" i="70" s="1" a="1"/>
  <c r="G21" i="70" s="1"/>
  <c r="H42" i="69" a="1"/>
  <c r="H42" i="69" s="1"/>
  <c r="O71" i="65"/>
  <c r="K42" i="69" a="1"/>
  <c r="K42" i="69" s="1"/>
  <c r="N71" i="65"/>
  <c r="J43" i="69" s="1" a="1"/>
  <c r="J43" i="69" s="1"/>
  <c r="L71" i="65"/>
  <c r="V69" i="65"/>
  <c r="S69" i="65"/>
  <c r="U69" i="65"/>
  <c r="L72" i="65" l="1"/>
  <c r="L76" i="65" s="1"/>
  <c r="L77" i="65" s="1"/>
  <c r="O72" i="65"/>
  <c r="O76" i="65" s="1"/>
  <c r="J33" i="69"/>
  <c r="J45" i="69" s="1"/>
  <c r="J48" i="69" s="1"/>
  <c r="F21" i="70" a="1"/>
  <c r="F21" i="70" s="1"/>
  <c r="F26" i="70" s="1"/>
  <c r="F27" i="70" s="1"/>
  <c r="V71" i="65"/>
  <c r="Q42" i="69" a="1"/>
  <c r="Q42" i="69" s="1"/>
  <c r="U71" i="65"/>
  <c r="P42" i="69" a="1"/>
  <c r="P42" i="69" s="1"/>
  <c r="S71" i="65"/>
  <c r="N42" i="69" a="1"/>
  <c r="N42" i="69" s="1"/>
  <c r="H43" i="69" a="1"/>
  <c r="H43" i="69" s="1"/>
  <c r="K43" i="69" a="1"/>
  <c r="K43" i="69" s="1"/>
  <c r="L19" i="80"/>
  <c r="H33" i="69" l="1"/>
  <c r="H45" i="69" s="1"/>
  <c r="H48" i="69" s="1"/>
  <c r="K33" i="69"/>
  <c r="K45" i="69" s="1"/>
  <c r="K48" i="69" s="1"/>
  <c r="N72" i="65"/>
  <c r="N76" i="65" s="1"/>
  <c r="N37" i="67" s="1" a="1"/>
  <c r="N37" i="67" s="1"/>
  <c r="N48" i="67" s="1"/>
  <c r="Q43" i="69" a="1"/>
  <c r="Q43" i="69" s="1"/>
  <c r="L19" i="73" a="1"/>
  <c r="L19" i="73" s="1"/>
  <c r="L23" i="73" a="1"/>
  <c r="L23" i="73" s="1"/>
  <c r="N19" i="73" a="1"/>
  <c r="N19" i="73" s="1"/>
  <c r="N23" i="73" a="1"/>
  <c r="N23" i="73" s="1"/>
  <c r="J23" i="73" a="1"/>
  <c r="J23" i="73" s="1"/>
  <c r="I19" i="73" a="1"/>
  <c r="I19" i="73" s="1"/>
  <c r="M23" i="73" a="1"/>
  <c r="M23" i="73" s="1"/>
  <c r="M19" i="73" a="1"/>
  <c r="M19" i="73" s="1"/>
  <c r="I23" i="73" a="1"/>
  <c r="I23" i="73" s="1"/>
  <c r="J19" i="73" a="1"/>
  <c r="J19" i="73" s="1"/>
  <c r="K23" i="73" a="1"/>
  <c r="K23" i="73" s="1"/>
  <c r="K19" i="73" a="1"/>
  <c r="K19" i="73" s="1"/>
  <c r="L37" i="67" a="1"/>
  <c r="L37" i="67" s="1"/>
  <c r="L48" i="67" s="1"/>
  <c r="O37" i="67" a="1"/>
  <c r="O37" i="67" s="1"/>
  <c r="O48" i="67" s="1"/>
  <c r="O77" i="65"/>
  <c r="N43" i="69" a="1"/>
  <c r="N43" i="69" s="1"/>
  <c r="N33" i="69" s="1"/>
  <c r="P43" i="69" a="1"/>
  <c r="P43" i="69" s="1"/>
  <c r="N77" i="65" l="1"/>
  <c r="P33" i="69"/>
  <c r="P45" i="69" s="1"/>
  <c r="P48" i="69" s="1"/>
  <c r="Q33" i="69"/>
  <c r="Q45" i="69" s="1"/>
  <c r="N45" i="69"/>
  <c r="N48" i="69" s="1"/>
  <c r="S72" i="65"/>
  <c r="S76" i="65" s="1"/>
  <c r="S37" i="67" s="1" a="1"/>
  <c r="S37" i="67" s="1"/>
  <c r="S48" i="67" s="1"/>
  <c r="V72" i="65"/>
  <c r="V76" i="65" s="1"/>
  <c r="V77" i="65" s="1"/>
  <c r="U72" i="65"/>
  <c r="U76" i="65" s="1"/>
  <c r="U37" i="67" s="1" a="1"/>
  <c r="U37" i="67" s="1"/>
  <c r="U48" i="67" s="1"/>
  <c r="AF46" i="73"/>
  <c r="AF47" i="73"/>
  <c r="AF48" i="73"/>
  <c r="AF49" i="73"/>
  <c r="AF50" i="73"/>
  <c r="AF51" i="73"/>
  <c r="AF52" i="73"/>
  <c r="AF53" i="73"/>
  <c r="AF54" i="73"/>
  <c r="AF55" i="73"/>
  <c r="AF56" i="73"/>
  <c r="AF57" i="73"/>
  <c r="AF58" i="73"/>
  <c r="AF59" i="73"/>
  <c r="AF60" i="73"/>
  <c r="AF61" i="73"/>
  <c r="AF62" i="73"/>
  <c r="AF63" i="73"/>
  <c r="AF64" i="73"/>
  <c r="AF65" i="73"/>
  <c r="AF66" i="73"/>
  <c r="AF67" i="73"/>
  <c r="AF68" i="73"/>
  <c r="AF69" i="73"/>
  <c r="AF70" i="73"/>
  <c r="AF71" i="73"/>
  <c r="AF72" i="73"/>
  <c r="AE46" i="73"/>
  <c r="AE47" i="73"/>
  <c r="AE48" i="73"/>
  <c r="AE49" i="73"/>
  <c r="AE50" i="73"/>
  <c r="AE51" i="73"/>
  <c r="AE52" i="73"/>
  <c r="AE53" i="73"/>
  <c r="AE54" i="73"/>
  <c r="AE55" i="73"/>
  <c r="AE56" i="73"/>
  <c r="AE57" i="73"/>
  <c r="AE58" i="73"/>
  <c r="AE59" i="73"/>
  <c r="AE60" i="73"/>
  <c r="AE61" i="73"/>
  <c r="AE62" i="73"/>
  <c r="AE63" i="73"/>
  <c r="AE64" i="73"/>
  <c r="AE65" i="73"/>
  <c r="AE66" i="73"/>
  <c r="AE67" i="73"/>
  <c r="AE68" i="73"/>
  <c r="AE69" i="73"/>
  <c r="AE70" i="73"/>
  <c r="AE71" i="73"/>
  <c r="AE72"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B46" i="73"/>
  <c r="AB47" i="73"/>
  <c r="AB67" i="73"/>
  <c r="AB68" i="73"/>
  <c r="AB49" i="73"/>
  <c r="AB69" i="73"/>
  <c r="AB50" i="73"/>
  <c r="AB70" i="73"/>
  <c r="AB51" i="73"/>
  <c r="AB71" i="73"/>
  <c r="AB72" i="73"/>
  <c r="AB53" i="73"/>
  <c r="AB54" i="73"/>
  <c r="AB55" i="73"/>
  <c r="AB56" i="73"/>
  <c r="AB57" i="73"/>
  <c r="AB58" i="73"/>
  <c r="AB59" i="73"/>
  <c r="AB60" i="73"/>
  <c r="AB61" i="73"/>
  <c r="AB63" i="73"/>
  <c r="AB64" i="73"/>
  <c r="AB65" i="73"/>
  <c r="AB66" i="73"/>
  <c r="AB48" i="73"/>
  <c r="AB52" i="73"/>
  <c r="AB62"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X46" i="73"/>
  <c r="X47" i="73"/>
  <c r="X67" i="73"/>
  <c r="X48" i="73"/>
  <c r="X68" i="73"/>
  <c r="X49" i="73"/>
  <c r="X69" i="73"/>
  <c r="X50" i="73"/>
  <c r="X70" i="73"/>
  <c r="X51" i="73"/>
  <c r="X71" i="73"/>
  <c r="X52" i="73"/>
  <c r="X72" i="73"/>
  <c r="X53" i="73"/>
  <c r="X54" i="73"/>
  <c r="X55" i="73"/>
  <c r="X57" i="73"/>
  <c r="X59" i="73"/>
  <c r="X60" i="73"/>
  <c r="X61" i="73"/>
  <c r="X62" i="73"/>
  <c r="X63" i="73"/>
  <c r="X64" i="73"/>
  <c r="X66" i="73"/>
  <c r="X56" i="73"/>
  <c r="X58" i="73"/>
  <c r="X65" i="73"/>
  <c r="W46" i="73"/>
  <c r="W47" i="73"/>
  <c r="W48" i="73"/>
  <c r="W49" i="73"/>
  <c r="W50" i="73"/>
  <c r="W51" i="73"/>
  <c r="W52" i="73"/>
  <c r="W53" i="73"/>
  <c r="W54" i="73"/>
  <c r="W55" i="73"/>
  <c r="W56" i="73"/>
  <c r="W57" i="73"/>
  <c r="W58" i="73"/>
  <c r="W59" i="73"/>
  <c r="W60" i="73"/>
  <c r="W61" i="73"/>
  <c r="W62" i="73"/>
  <c r="W63" i="73"/>
  <c r="W64" i="73"/>
  <c r="W65" i="73"/>
  <c r="W66" i="73"/>
  <c r="W67" i="73"/>
  <c r="W68" i="73"/>
  <c r="W69" i="73"/>
  <c r="W70" i="73"/>
  <c r="W71" i="73"/>
  <c r="W72" i="73"/>
  <c r="V46" i="73"/>
  <c r="V47" i="73"/>
  <c r="V48" i="73"/>
  <c r="V49" i="73"/>
  <c r="V50" i="73"/>
  <c r="V51" i="73"/>
  <c r="V52" i="73"/>
  <c r="V53" i="73"/>
  <c r="V54" i="73"/>
  <c r="V55" i="73"/>
  <c r="V56" i="73"/>
  <c r="V57" i="73"/>
  <c r="V58" i="73"/>
  <c r="V59" i="73"/>
  <c r="V60" i="73"/>
  <c r="V61" i="73"/>
  <c r="V62" i="73"/>
  <c r="V63" i="73"/>
  <c r="V64" i="73"/>
  <c r="V65" i="73"/>
  <c r="V66" i="73"/>
  <c r="V67" i="73"/>
  <c r="V68" i="73"/>
  <c r="V69" i="73"/>
  <c r="V70" i="73"/>
  <c r="V71" i="73"/>
  <c r="V72" i="73"/>
  <c r="J24" i="70" a="1"/>
  <c r="J24" i="70" s="1"/>
  <c r="O45" i="67"/>
  <c r="G24" i="70" a="1"/>
  <c r="G24" i="70" s="1"/>
  <c r="L45" i="67"/>
  <c r="G22" i="70" s="1" a="1"/>
  <c r="G22" i="70" s="1"/>
  <c r="I24" i="70" a="1"/>
  <c r="I24" i="70" s="1"/>
  <c r="N45" i="67"/>
  <c r="Q48" i="69"/>
  <c r="V37" i="67" l="1" a="1"/>
  <c r="V37" i="67" s="1"/>
  <c r="V48" i="67" s="1"/>
  <c r="P24" i="70" s="1" a="1"/>
  <c r="P24" i="70" s="1"/>
  <c r="S77" i="65"/>
  <c r="U77" i="65"/>
  <c r="U45" i="67"/>
  <c r="O22" i="70" s="1" a="1"/>
  <c r="O22" i="70" s="1"/>
  <c r="O24" i="70" a="1"/>
  <c r="O24" i="70" s="1"/>
  <c r="S45" i="67"/>
  <c r="M22" i="70" s="1" a="1"/>
  <c r="M22" i="70" s="1"/>
  <c r="M24" i="70" a="1"/>
  <c r="M24" i="70" s="1"/>
  <c r="G26" i="70"/>
  <c r="G27" i="70" s="1"/>
  <c r="L51" i="67"/>
  <c r="L52" i="67" s="1"/>
  <c r="J22" i="70" a="1"/>
  <c r="J22" i="70" s="1"/>
  <c r="J26" i="70" s="1"/>
  <c r="J27" i="70" s="1"/>
  <c r="O51" i="67"/>
  <c r="O52" i="67" s="1"/>
  <c r="I22" i="70" a="1"/>
  <c r="I22" i="70" s="1"/>
  <c r="I26" i="70" s="1"/>
  <c r="I27" i="70" s="1"/>
  <c r="N51" i="67"/>
  <c r="N52" i="67" s="1"/>
  <c r="V45" i="67" l="1"/>
  <c r="P22" i="70" s="1" a="1"/>
  <c r="P22" i="70" s="1"/>
  <c r="V46" i="67"/>
  <c r="P21" i="70" s="1" a="1"/>
  <c r="P21" i="70" s="1"/>
  <c r="U46" i="67"/>
  <c r="O21" i="70" s="1" a="1"/>
  <c r="O21" i="70" s="1"/>
  <c r="AD44" i="73" l="1"/>
  <c r="Y55" i="73"/>
  <c r="AD47" i="73"/>
  <c r="Y49" i="73"/>
  <c r="Y53" i="73"/>
  <c r="Y72" i="73"/>
  <c r="Y65" i="73"/>
  <c r="Y51" i="73"/>
  <c r="Y54" i="73"/>
  <c r="AD72" i="73"/>
  <c r="AH40" i="32" s="1"/>
  <c r="Y61" i="73"/>
  <c r="Y57" i="73"/>
  <c r="AD53" i="73"/>
  <c r="Y62" i="73"/>
  <c r="AD49" i="73"/>
  <c r="AD55" i="73"/>
  <c r="Y56" i="73"/>
  <c r="AD62" i="73"/>
  <c r="AD71" i="73"/>
  <c r="AG40" i="32" s="1"/>
  <c r="AD46" i="73"/>
  <c r="Y60" i="73"/>
  <c r="AD50" i="73"/>
  <c r="Y66" i="73"/>
  <c r="AD70" i="73"/>
  <c r="AF40" i="32" s="1"/>
  <c r="AD60" i="73"/>
  <c r="Y46" i="73"/>
  <c r="S46" i="67" s="1"/>
  <c r="M21" i="70" s="1" a="1"/>
  <c r="M21" i="70" s="1"/>
  <c r="AD51" i="73"/>
  <c r="Y63" i="73"/>
  <c r="Y48" i="73"/>
  <c r="Y64" i="73"/>
  <c r="AD65" i="73"/>
  <c r="AD68" i="73"/>
  <c r="AD40" i="32" s="1"/>
  <c r="AD63" i="73"/>
  <c r="Y67" i="73"/>
  <c r="AD61" i="73"/>
  <c r="Y70" i="73"/>
  <c r="Y71" i="73"/>
  <c r="AD54" i="73"/>
  <c r="AD59" i="73"/>
  <c r="AD57" i="73"/>
  <c r="R46" i="67"/>
  <c r="Y52" i="73"/>
  <c r="V51" i="67"/>
  <c r="V52" i="67" s="1"/>
  <c r="P26" i="70"/>
  <c r="P27" i="70" s="1"/>
  <c r="AD52" i="73"/>
  <c r="AD64" i="73"/>
  <c r="Y58" i="73"/>
  <c r="Y68" i="73"/>
  <c r="AD48" i="73"/>
  <c r="AD56" i="73"/>
  <c r="AD67" i="73"/>
  <c r="AC40" i="32" s="1"/>
  <c r="Y59" i="73"/>
  <c r="Y47" i="73"/>
  <c r="AD69" i="73"/>
  <c r="AE40" i="32" s="1"/>
  <c r="U51" i="67"/>
  <c r="U52" i="67" s="1"/>
  <c r="O26" i="70"/>
  <c r="O27" i="70" s="1"/>
  <c r="AD66" i="73"/>
  <c r="AB40" i="32" s="1"/>
  <c r="AD58" i="73"/>
  <c r="Y69" i="73"/>
  <c r="Y50" i="73"/>
  <c r="R51" i="67" l="1"/>
  <c r="R52" i="67" s="1"/>
  <c r="L21" i="70" a="1"/>
  <c r="L21" i="70" s="1"/>
  <c r="L26" i="70" s="1"/>
  <c r="L27" i="70" s="1"/>
  <c r="T46" i="67"/>
  <c r="M46" i="67"/>
  <c r="H21" i="70" s="1" a="1"/>
  <c r="H21" i="70" s="1"/>
  <c r="M19" i="80"/>
  <c r="S51" i="67"/>
  <c r="S52" i="67" s="1"/>
  <c r="M26" i="70"/>
  <c r="M27" i="70" s="1"/>
  <c r="T51" i="67" l="1"/>
  <c r="T52" i="67" s="1"/>
  <c r="N21" i="70" a="1"/>
  <c r="N21" i="70" s="1"/>
  <c r="N26" i="70" s="1"/>
  <c r="M51" i="67"/>
  <c r="M52" i="67" s="1"/>
  <c r="N27" i="70" l="1"/>
  <c r="H26" i="70"/>
  <c r="H27" i="70" l="1"/>
  <c r="F56" i="43" l="1"/>
  <c r="F57" i="43"/>
  <c r="G61" i="43" s="1"/>
  <c r="A61" i="43"/>
  <c r="F61" i="43" s="1"/>
  <c r="G62" i="43" s="1"/>
  <c r="K57" i="43"/>
  <c r="K61" i="43" s="1"/>
  <c r="G23" i="45"/>
  <c r="G31" i="45" s="1"/>
  <c r="G57" i="43" l="1"/>
  <c r="A62" i="43"/>
  <c r="F62" i="43" s="1"/>
  <c r="K62" i="43"/>
  <c r="K37" i="41" a="1"/>
  <c r="K37" i="41" s="1"/>
  <c r="K46" i="41" s="1"/>
  <c r="F22" i="46" l="1"/>
  <c r="K44" i="41"/>
  <c r="K50" i="41" l="1"/>
  <c r="K51" i="41" s="1"/>
  <c r="F20" i="46"/>
  <c r="AL44" i="73"/>
  <c r="L57" i="43"/>
  <c r="L61" i="43" s="1"/>
  <c r="M57" i="43"/>
  <c r="M61" i="43" s="1"/>
  <c r="N57" i="43"/>
  <c r="N61" i="43" s="1"/>
  <c r="N62" i="43" s="1"/>
  <c r="O57" i="43"/>
  <c r="O61" i="43" s="1"/>
  <c r="H23" i="45"/>
  <c r="H31" i="45" s="1"/>
  <c r="H34" i="45" s="1"/>
  <c r="J23" i="45"/>
  <c r="J31" i="45" s="1"/>
  <c r="J34" i="45" s="1"/>
  <c r="K23" i="45"/>
  <c r="K31" i="45" s="1"/>
  <c r="K34" i="45" s="1"/>
  <c r="F24" i="46" l="1"/>
  <c r="F25" i="46" s="1"/>
  <c r="I23" i="45"/>
  <c r="L62" i="43"/>
  <c r="L37" i="41" a="1"/>
  <c r="L37" i="41" s="1"/>
  <c r="L46" i="41" s="1"/>
  <c r="N37" i="41" a="1"/>
  <c r="N37" i="41" s="1"/>
  <c r="N46" i="41" s="1"/>
  <c r="M62" i="43"/>
  <c r="M37" i="41" a="1"/>
  <c r="M37" i="41" s="1"/>
  <c r="M46" i="41" s="1"/>
  <c r="O37" i="41" a="1"/>
  <c r="O37" i="41" s="1"/>
  <c r="O46" i="41" s="1"/>
  <c r="O62" i="43"/>
  <c r="L45" i="41"/>
  <c r="G21" i="46" s="1"/>
  <c r="G18" i="78"/>
  <c r="G22" i="46" l="1"/>
  <c r="I31" i="45"/>
  <c r="L44" i="41"/>
  <c r="L50" i="41" s="1"/>
  <c r="L51" i="41" s="1"/>
  <c r="M44" i="41"/>
  <c r="H22" i="46"/>
  <c r="G19" i="78"/>
  <c r="G20" i="78"/>
  <c r="J22" i="46"/>
  <c r="O44" i="41"/>
  <c r="I22" i="46"/>
  <c r="N44" i="41"/>
  <c r="G20" i="46" l="1"/>
  <c r="I34" i="45"/>
  <c r="N50" i="41"/>
  <c r="N51" i="41" s="1"/>
  <c r="I20" i="46"/>
  <c r="O50" i="41"/>
  <c r="O51" i="41" s="1"/>
  <c r="J20" i="46"/>
  <c r="H20" i="46"/>
  <c r="R57" i="43"/>
  <c r="S57" i="43"/>
  <c r="S61" i="43" s="1"/>
  <c r="S37" i="41" s="1" a="1"/>
  <c r="S37" i="41" s="1"/>
  <c r="S46" i="41" s="1"/>
  <c r="T57" i="43"/>
  <c r="T61" i="43" s="1"/>
  <c r="U57" i="43"/>
  <c r="U61" i="43" s="1"/>
  <c r="V57" i="43"/>
  <c r="V61" i="43" s="1"/>
  <c r="M23" i="45"/>
  <c r="M31" i="45" s="1"/>
  <c r="M34" i="45" s="1"/>
  <c r="N23" i="45"/>
  <c r="N31" i="45" s="1"/>
  <c r="N34" i="45" s="1"/>
  <c r="O23" i="45"/>
  <c r="O31" i="45" s="1"/>
  <c r="P23" i="45"/>
  <c r="P31" i="45" s="1"/>
  <c r="P34" i="45" s="1"/>
  <c r="Q23" i="45"/>
  <c r="Q31" i="45" s="1"/>
  <c r="Q34" i="45" s="1"/>
  <c r="O34" i="45" l="1"/>
  <c r="T62" i="43"/>
  <c r="J24" i="46"/>
  <c r="J25" i="46" s="1"/>
  <c r="I24" i="46"/>
  <c r="I25" i="46" s="1"/>
  <c r="G24" i="46"/>
  <c r="G25" i="46" s="1"/>
  <c r="V37" i="41" a="1"/>
  <c r="V37" i="41" s="1"/>
  <c r="V46" i="41" s="1"/>
  <c r="V62" i="43"/>
  <c r="M22" i="46"/>
  <c r="S44" i="41"/>
  <c r="T37" i="41" a="1"/>
  <c r="T37" i="41" s="1"/>
  <c r="T46" i="41" s="1"/>
  <c r="U37" i="41" a="1"/>
  <c r="U37" i="41" s="1"/>
  <c r="U46" i="41" s="1"/>
  <c r="U62" i="43"/>
  <c r="S62" i="43"/>
  <c r="R61" i="43"/>
  <c r="I16" i="35" s="1"/>
  <c r="P22" i="46" l="1"/>
  <c r="V44" i="41"/>
  <c r="O22" i="46"/>
  <c r="U44" i="41"/>
  <c r="R34" i="35"/>
  <c r="AL34" i="35"/>
  <c r="BF34" i="35"/>
  <c r="S34" i="35"/>
  <c r="AM34" i="35"/>
  <c r="T34" i="35"/>
  <c r="AN34" i="35"/>
  <c r="Z34" i="35"/>
  <c r="U34" i="35"/>
  <c r="AO34" i="35"/>
  <c r="AP34" i="35"/>
  <c r="V34" i="35"/>
  <c r="AT34" i="35"/>
  <c r="W34" i="35"/>
  <c r="AQ34" i="35"/>
  <c r="X34" i="35"/>
  <c r="AR34" i="35"/>
  <c r="Y34" i="35"/>
  <c r="AS34" i="35"/>
  <c r="AA34" i="35"/>
  <c r="AU34" i="35"/>
  <c r="AB34" i="35"/>
  <c r="AV34" i="35"/>
  <c r="I34" i="35"/>
  <c r="AC34" i="35"/>
  <c r="AW34" i="35"/>
  <c r="M34" i="35"/>
  <c r="AG34" i="35"/>
  <c r="BA34" i="35"/>
  <c r="O34" i="35"/>
  <c r="AI34" i="35"/>
  <c r="BC34" i="35"/>
  <c r="BD34" i="35"/>
  <c r="BE34" i="35"/>
  <c r="L34" i="35"/>
  <c r="J34" i="35"/>
  <c r="AJ34" i="35"/>
  <c r="K34" i="35"/>
  <c r="AY34" i="35"/>
  <c r="N34" i="35"/>
  <c r="P34" i="35"/>
  <c r="AF34" i="35"/>
  <c r="AH34" i="35"/>
  <c r="Q34" i="35"/>
  <c r="AD34" i="35"/>
  <c r="AE34" i="35"/>
  <c r="AK34" i="35"/>
  <c r="AX34" i="35"/>
  <c r="AZ34" i="35"/>
  <c r="BB34" i="35"/>
  <c r="R62" i="43"/>
  <c r="R37" i="41" a="1"/>
  <c r="R37" i="41" s="1"/>
  <c r="R46" i="41" s="1"/>
  <c r="H18" i="32" s="1"/>
  <c r="T44" i="41"/>
  <c r="M20" i="46"/>
  <c r="AG42" i="32" l="1"/>
  <c r="AH42" i="32"/>
  <c r="AB42" i="32"/>
  <c r="AC42" i="32"/>
  <c r="AD42" i="32"/>
  <c r="AE42" i="32"/>
  <c r="AF42" i="32"/>
  <c r="Y42" i="32"/>
  <c r="Z42" i="32"/>
  <c r="AA42" i="32"/>
  <c r="H42" i="32"/>
  <c r="I42" i="32"/>
  <c r="J42" i="32"/>
  <c r="K42" i="32"/>
  <c r="L42" i="32"/>
  <c r="M42" i="32"/>
  <c r="N42" i="32"/>
  <c r="O42" i="32"/>
  <c r="P42" i="32"/>
  <c r="Q42" i="32"/>
  <c r="R42" i="32"/>
  <c r="S42" i="32"/>
  <c r="T42" i="32"/>
  <c r="U42" i="32"/>
  <c r="V42" i="32"/>
  <c r="W42" i="32"/>
  <c r="X42" i="32"/>
  <c r="N22" i="46"/>
  <c r="O20" i="46"/>
  <c r="I37" i="35"/>
  <c r="I38" i="35" s="1"/>
  <c r="I42" i="35"/>
  <c r="I43" i="35"/>
  <c r="L22" i="46"/>
  <c r="R44" i="41"/>
  <c r="P20" i="46"/>
  <c r="N20" i="46"/>
  <c r="I17" i="7" l="1"/>
  <c r="I21" i="7" s="1"/>
  <c r="I17" i="130"/>
  <c r="I21" i="130" s="1"/>
  <c r="H85" i="130" s="1"/>
  <c r="I16" i="7"/>
  <c r="H67" i="1" s="1"/>
  <c r="I16" i="130"/>
  <c r="I20" i="130" s="1"/>
  <c r="AL63" i="73"/>
  <c r="V45" i="41"/>
  <c r="P21" i="46" s="1"/>
  <c r="J36" i="35"/>
  <c r="J37" i="35" s="1"/>
  <c r="J38" i="35" s="1"/>
  <c r="K36" i="35" s="1"/>
  <c r="K37" i="35" s="1"/>
  <c r="K38" i="35" s="1"/>
  <c r="L36" i="35" s="1"/>
  <c r="L37" i="35" s="1"/>
  <c r="L38" i="35" s="1"/>
  <c r="M36" i="35" s="1"/>
  <c r="M37" i="35" s="1"/>
  <c r="M38" i="35" s="1"/>
  <c r="N36" i="35" s="1"/>
  <c r="N37" i="35" s="1"/>
  <c r="N38" i="35" s="1"/>
  <c r="O36" i="35" s="1"/>
  <c r="O37" i="35" s="1"/>
  <c r="O38" i="35" s="1"/>
  <c r="P36" i="35" s="1"/>
  <c r="P37" i="35" s="1"/>
  <c r="P38" i="35" s="1"/>
  <c r="Q36" i="35" s="1"/>
  <c r="Q37" i="35" s="1"/>
  <c r="Q38" i="35" s="1"/>
  <c r="R36" i="35" s="1"/>
  <c r="R37" i="35" s="1"/>
  <c r="R38" i="35" s="1"/>
  <c r="S36" i="35" s="1"/>
  <c r="S37" i="35" s="1"/>
  <c r="S38" i="35" s="1"/>
  <c r="T36" i="35" s="1"/>
  <c r="T37" i="35" s="1"/>
  <c r="T38" i="35" s="1"/>
  <c r="U36" i="35" s="1"/>
  <c r="U37" i="35" s="1"/>
  <c r="U38" i="35" s="1"/>
  <c r="V36" i="35" s="1"/>
  <c r="V37" i="35" s="1"/>
  <c r="V38" i="35" s="1"/>
  <c r="W36" i="35" s="1"/>
  <c r="W37" i="35" s="1"/>
  <c r="W38" i="35" s="1"/>
  <c r="X36" i="35" s="1"/>
  <c r="X37" i="35" s="1"/>
  <c r="X38" i="35" s="1"/>
  <c r="Y36" i="35" s="1"/>
  <c r="Y37" i="35" s="1"/>
  <c r="Y38" i="35" s="1"/>
  <c r="Z36" i="35" s="1"/>
  <c r="Z37" i="35" s="1"/>
  <c r="Z38" i="35" s="1"/>
  <c r="AA36" i="35" s="1"/>
  <c r="AA37" i="35" s="1"/>
  <c r="AA38" i="35" s="1"/>
  <c r="AB36" i="35" s="1"/>
  <c r="AB37" i="35" s="1"/>
  <c r="AB38" i="35" s="1"/>
  <c r="U45" i="41"/>
  <c r="L20" i="46"/>
  <c r="H84" i="1" l="1"/>
  <c r="H69" i="1"/>
  <c r="H85" i="1"/>
  <c r="I20" i="7"/>
  <c r="H71" i="1" s="1"/>
  <c r="H87" i="1" s="1"/>
  <c r="H147" i="130"/>
  <c r="H154" i="130"/>
  <c r="E55" i="130"/>
  <c r="F55" i="130" s="1"/>
  <c r="G55" i="130" s="1"/>
  <c r="H55" i="130" s="1"/>
  <c r="R45" i="41"/>
  <c r="R50" i="41" s="1"/>
  <c r="R51" i="41" s="1"/>
  <c r="P24" i="46"/>
  <c r="P25" i="46" s="1"/>
  <c r="AQ44" i="73"/>
  <c r="AL52" i="73"/>
  <c r="AC36" i="35"/>
  <c r="AC37" i="35" s="1"/>
  <c r="AC38" i="35" s="1"/>
  <c r="AL59" i="73"/>
  <c r="AL68" i="73"/>
  <c r="AL71" i="73"/>
  <c r="AL46" i="73"/>
  <c r="S45" i="41" s="1"/>
  <c r="M21" i="46" s="1"/>
  <c r="AL66" i="73"/>
  <c r="AL62" i="73"/>
  <c r="AL53" i="73"/>
  <c r="AL70" i="73"/>
  <c r="AL51" i="73"/>
  <c r="AL61" i="73"/>
  <c r="AL49" i="73"/>
  <c r="AL48" i="73"/>
  <c r="V50" i="41"/>
  <c r="V51" i="41" s="1"/>
  <c r="AL65" i="73"/>
  <c r="AL69" i="73"/>
  <c r="AL67" i="73"/>
  <c r="AL47" i="73"/>
  <c r="AL64" i="73"/>
  <c r="AL57" i="73"/>
  <c r="AL58" i="73"/>
  <c r="AL56" i="73"/>
  <c r="AQ50" i="73"/>
  <c r="L40" i="32" s="1"/>
  <c r="AL55" i="73"/>
  <c r="AL54" i="73"/>
  <c r="AQ67" i="73"/>
  <c r="AQ65" i="73"/>
  <c r="AA40" i="32" s="1"/>
  <c r="AQ55" i="73"/>
  <c r="Q40" i="32" s="1"/>
  <c r="AQ63" i="73"/>
  <c r="Y40" i="32" s="1"/>
  <c r="AQ53" i="73"/>
  <c r="O40" i="32" s="1"/>
  <c r="AL50" i="73"/>
  <c r="AL60" i="73"/>
  <c r="AQ51" i="73"/>
  <c r="M40" i="32" s="1"/>
  <c r="AL72" i="73"/>
  <c r="AQ69" i="73"/>
  <c r="AQ57" i="73"/>
  <c r="S40" i="32" s="1"/>
  <c r="AQ56" i="73"/>
  <c r="R40" i="32" s="1"/>
  <c r="AQ54" i="73"/>
  <c r="P40" i="32" s="1"/>
  <c r="AQ52" i="73"/>
  <c r="N40" i="32" s="1"/>
  <c r="AQ47" i="73"/>
  <c r="I40" i="32" s="1"/>
  <c r="AQ71" i="73"/>
  <c r="AQ66" i="73"/>
  <c r="AQ64" i="73"/>
  <c r="Z40" i="32" s="1"/>
  <c r="AQ62" i="73"/>
  <c r="X40" i="32" s="1"/>
  <c r="AQ68" i="73"/>
  <c r="AQ70" i="73"/>
  <c r="AQ60" i="73"/>
  <c r="V40" i="32" s="1"/>
  <c r="AQ58" i="73"/>
  <c r="T40" i="32" s="1"/>
  <c r="AQ49" i="73"/>
  <c r="K40" i="32" s="1"/>
  <c r="AQ48" i="73"/>
  <c r="J40" i="32" s="1"/>
  <c r="AQ46" i="73"/>
  <c r="H40" i="32" s="1"/>
  <c r="H147" i="7"/>
  <c r="H154" i="7"/>
  <c r="E55" i="7"/>
  <c r="F55" i="7" s="1"/>
  <c r="H85" i="7"/>
  <c r="H73" i="1"/>
  <c r="H88" i="1" s="1"/>
  <c r="O21" i="46"/>
  <c r="U50" i="41"/>
  <c r="U51" i="41" s="1"/>
  <c r="AQ61" i="73"/>
  <c r="W40" i="32" s="1"/>
  <c r="AQ72" i="73"/>
  <c r="AQ59" i="73"/>
  <c r="U40" i="32" s="1"/>
  <c r="O97" i="1" l="1"/>
  <c r="H155" i="130"/>
  <c r="I152" i="130"/>
  <c r="I153" i="130" s="1"/>
  <c r="I142" i="130" s="1"/>
  <c r="H148" i="130"/>
  <c r="I145" i="130"/>
  <c r="I146" i="130" s="1"/>
  <c r="I139" i="130" s="1"/>
  <c r="L21" i="46"/>
  <c r="L24" i="46" s="1"/>
  <c r="L25" i="46" s="1"/>
  <c r="M24" i="46"/>
  <c r="M25" i="46" s="1"/>
  <c r="O24" i="46"/>
  <c r="O25" i="46" s="1"/>
  <c r="M45" i="41"/>
  <c r="H18" i="78"/>
  <c r="H20" i="78" s="1"/>
  <c r="AD36" i="35"/>
  <c r="AD37" i="35" s="1"/>
  <c r="S50" i="41"/>
  <c r="S51" i="41" s="1"/>
  <c r="I145" i="7"/>
  <c r="H148" i="7"/>
  <c r="I152" i="7"/>
  <c r="H155" i="7"/>
  <c r="T45" i="41"/>
  <c r="H19" i="78" l="1"/>
  <c r="M50" i="41"/>
  <c r="M51" i="41" s="1"/>
  <c r="H21" i="46"/>
  <c r="AD38" i="35"/>
  <c r="I153" i="7"/>
  <c r="N21" i="46"/>
  <c r="T50" i="41"/>
  <c r="I146" i="7"/>
  <c r="G55" i="7"/>
  <c r="H24" i="46" l="1"/>
  <c r="H25" i="46" s="1"/>
  <c r="N24" i="46"/>
  <c r="N25" i="46" s="1"/>
  <c r="AE36" i="35"/>
  <c r="AE37" i="35" s="1"/>
  <c r="H55" i="7"/>
  <c r="I139" i="7"/>
  <c r="H16" i="32"/>
  <c r="T51" i="41"/>
  <c r="I142" i="7"/>
  <c r="AG38" i="32" l="1"/>
  <c r="AG43" i="32" s="1"/>
  <c r="AH38" i="32"/>
  <c r="AH43" i="32" s="1"/>
  <c r="AB38" i="32"/>
  <c r="AB43" i="32" s="1"/>
  <c r="AC42" i="7" s="1"/>
  <c r="AC38" i="32"/>
  <c r="AC43" i="32" s="1"/>
  <c r="AD42" i="7" s="1"/>
  <c r="AD38" i="32"/>
  <c r="AD43" i="32" s="1"/>
  <c r="AE42" i="7" s="1"/>
  <c r="AE38" i="32"/>
  <c r="AE43" i="32" s="1"/>
  <c r="AF42" i="7" s="1"/>
  <c r="AF38" i="32"/>
  <c r="AF43" i="32" s="1"/>
  <c r="AG42" i="7" s="1"/>
  <c r="Y38" i="32"/>
  <c r="Y43" i="32" s="1"/>
  <c r="Z42" i="7" s="1"/>
  <c r="Z38" i="32"/>
  <c r="Z43" i="32" s="1"/>
  <c r="AA42" i="7" s="1"/>
  <c r="AA38" i="32"/>
  <c r="AA43" i="32" s="1"/>
  <c r="AB42" i="7" s="1"/>
  <c r="H38" i="32"/>
  <c r="H43" i="32" s="1"/>
  <c r="I42" i="7" s="1"/>
  <c r="I38" i="32"/>
  <c r="I43" i="32" s="1"/>
  <c r="J42" i="7" s="1"/>
  <c r="K38" i="32"/>
  <c r="K43" i="32" s="1"/>
  <c r="L42" i="7" s="1"/>
  <c r="L38" i="32"/>
  <c r="L43" i="32" s="1"/>
  <c r="M42" i="7" s="1"/>
  <c r="M38" i="32"/>
  <c r="M43" i="32" s="1"/>
  <c r="N42" i="7" s="1"/>
  <c r="N38" i="32"/>
  <c r="N43" i="32" s="1"/>
  <c r="O42" i="7" s="1"/>
  <c r="O38" i="32"/>
  <c r="O43" i="32" s="1"/>
  <c r="P42" i="7" s="1"/>
  <c r="P38" i="32"/>
  <c r="P43" i="32" s="1"/>
  <c r="Q42" i="7" s="1"/>
  <c r="Q38" i="32"/>
  <c r="Q43" i="32" s="1"/>
  <c r="R42" i="7" s="1"/>
  <c r="R38" i="32"/>
  <c r="R43" i="32" s="1"/>
  <c r="S42" i="7" s="1"/>
  <c r="S38" i="32"/>
  <c r="S43" i="32" s="1"/>
  <c r="T42" i="7" s="1"/>
  <c r="T38" i="32"/>
  <c r="T43" i="32" s="1"/>
  <c r="U42" i="7" s="1"/>
  <c r="X38" i="32"/>
  <c r="X43" i="32" s="1"/>
  <c r="Y42" i="7" s="1"/>
  <c r="J38" i="32"/>
  <c r="J43" i="32" s="1"/>
  <c r="K42" i="7" s="1"/>
  <c r="U38" i="32"/>
  <c r="U43" i="32" s="1"/>
  <c r="V42" i="7" s="1"/>
  <c r="V38" i="32"/>
  <c r="V43" i="32" s="1"/>
  <c r="W42" i="7" s="1"/>
  <c r="W38" i="32"/>
  <c r="W43" i="32" s="1"/>
  <c r="X42" i="7" s="1"/>
  <c r="AE38" i="35"/>
  <c r="AE42" i="130" l="1"/>
  <c r="AE72" i="130" s="1"/>
  <c r="AD42" i="130"/>
  <c r="AD72" i="130" s="1"/>
  <c r="AG42" i="130"/>
  <c r="AG72" i="130" s="1"/>
  <c r="AF42" i="130"/>
  <c r="AF72" i="130" s="1"/>
  <c r="AC42" i="130"/>
  <c r="AC72" i="130" s="1"/>
  <c r="L72" i="7"/>
  <c r="X42" i="130"/>
  <c r="X72" i="130" s="1"/>
  <c r="Z42" i="130"/>
  <c r="Z72" i="130" s="1"/>
  <c r="Y42" i="130"/>
  <c r="Y72" i="130" s="1"/>
  <c r="W42" i="130"/>
  <c r="W72" i="130" s="1"/>
  <c r="P42" i="130"/>
  <c r="P72" i="130" s="1"/>
  <c r="I42" i="130"/>
  <c r="R42" i="130"/>
  <c r="R72" i="130" s="1"/>
  <c r="Q42" i="130"/>
  <c r="Q72" i="130" s="1"/>
  <c r="J42" i="130"/>
  <c r="J72" i="130" s="1"/>
  <c r="AB42" i="130"/>
  <c r="AB72" i="130" s="1"/>
  <c r="S42" i="130"/>
  <c r="S72" i="130" s="1"/>
  <c r="K42" i="130"/>
  <c r="K72" i="130" s="1"/>
  <c r="N42" i="130"/>
  <c r="N72" i="130" s="1"/>
  <c r="U42" i="130"/>
  <c r="U72" i="130" s="1"/>
  <c r="V42" i="130"/>
  <c r="V72" i="130" s="1"/>
  <c r="M42" i="130"/>
  <c r="M72" i="130" s="1"/>
  <c r="O42" i="130"/>
  <c r="O72" i="130" s="1"/>
  <c r="T42" i="130"/>
  <c r="T72" i="130" s="1"/>
  <c r="L42" i="130"/>
  <c r="L72" i="130" s="1"/>
  <c r="AA42" i="130"/>
  <c r="AA72" i="130" s="1"/>
  <c r="AF36" i="35"/>
  <c r="AF37" i="35" s="1"/>
  <c r="V72" i="7" l="1"/>
  <c r="T72" i="7"/>
  <c r="O72" i="7"/>
  <c r="P72" i="7"/>
  <c r="U72" i="7"/>
  <c r="W72" i="7"/>
  <c r="S72" i="7"/>
  <c r="M72" i="7"/>
  <c r="R72" i="7"/>
  <c r="X72" i="7"/>
  <c r="J72" i="7"/>
  <c r="N72" i="7"/>
  <c r="Q72" i="7"/>
  <c r="K72" i="7"/>
  <c r="Y72" i="7"/>
  <c r="I72" i="7"/>
  <c r="AD72" i="7"/>
  <c r="Z72" i="7"/>
  <c r="AA72" i="7"/>
  <c r="AB72" i="7"/>
  <c r="AC72" i="7"/>
  <c r="AE72" i="7"/>
  <c r="AG72" i="7"/>
  <c r="AF72" i="7"/>
  <c r="H86" i="1"/>
  <c r="E56" i="7"/>
  <c r="F56" i="7" s="1"/>
  <c r="I72" i="130"/>
  <c r="E56" i="130"/>
  <c r="AF38" i="35"/>
  <c r="F56" i="130" l="1"/>
  <c r="AG36" i="35"/>
  <c r="AG37" i="35" s="1"/>
  <c r="AG38" i="35" s="1"/>
  <c r="G56" i="7"/>
  <c r="G56" i="130" l="1"/>
  <c r="AH36" i="35"/>
  <c r="AH37" i="35" s="1"/>
  <c r="AH38" i="35" s="1"/>
  <c r="H89" i="1"/>
  <c r="H56" i="7"/>
  <c r="O114" i="1" s="1"/>
  <c r="H56" i="130" l="1"/>
  <c r="AI36" i="35"/>
  <c r="AI37" i="35" s="1"/>
  <c r="AI38" i="35" s="1"/>
  <c r="AJ36" i="35" l="1"/>
  <c r="AJ37" i="35" s="1"/>
  <c r="AJ38" i="35" s="1"/>
  <c r="AK36" i="35" l="1"/>
  <c r="AK37" i="35" s="1"/>
  <c r="AK38" i="35" s="1"/>
  <c r="AL36" i="35" l="1"/>
  <c r="AL37" i="35" s="1"/>
  <c r="AL38" i="35" s="1"/>
  <c r="AM36" i="35" l="1"/>
  <c r="AM37" i="35" s="1"/>
  <c r="AM38" i="35" s="1"/>
  <c r="AN36" i="35" l="1"/>
  <c r="AN37" i="35" s="1"/>
  <c r="AN38" i="35" s="1"/>
  <c r="AO36" i="35" l="1"/>
  <c r="AO37" i="35" s="1"/>
  <c r="AO38" i="35" s="1"/>
  <c r="AP36" i="35" l="1"/>
  <c r="AP37" i="35" s="1"/>
  <c r="AP38" i="35" s="1"/>
  <c r="AQ36" i="35" l="1"/>
  <c r="AQ37" i="35" s="1"/>
  <c r="AQ38" i="35" s="1"/>
  <c r="AR36" i="35" l="1"/>
  <c r="AR37" i="35" s="1"/>
  <c r="AR38" i="35" s="1"/>
  <c r="AS36" i="35" l="1"/>
  <c r="AS37" i="35" s="1"/>
  <c r="AS38" i="35" s="1"/>
  <c r="AT36" i="35" l="1"/>
  <c r="AT37" i="35" s="1"/>
  <c r="AT38" i="35" s="1"/>
  <c r="AU36" i="35" l="1"/>
  <c r="AU37" i="35" s="1"/>
  <c r="AU38" i="35" s="1"/>
  <c r="AV36" i="35" l="1"/>
  <c r="AV37" i="35" s="1"/>
  <c r="AV38" i="35" s="1"/>
  <c r="AW36" i="35" l="1"/>
  <c r="AW37" i="35" s="1"/>
  <c r="AW38" i="35" s="1"/>
  <c r="AX36" i="35" l="1"/>
  <c r="AX37" i="35" s="1"/>
  <c r="AX38" i="35" s="1"/>
  <c r="AY36" i="35" l="1"/>
  <c r="AY37" i="35" s="1"/>
  <c r="AY38" i="35" s="1"/>
  <c r="AZ36" i="35" l="1"/>
  <c r="AZ37" i="35" s="1"/>
  <c r="AZ38" i="35" l="1"/>
  <c r="BA36" i="35" l="1"/>
  <c r="BA37" i="35" s="1"/>
  <c r="BA38" i="35" l="1"/>
  <c r="BB36" i="35" l="1"/>
  <c r="BB37" i="35" s="1"/>
  <c r="BB38" i="35" l="1"/>
  <c r="BC36" i="35" l="1"/>
  <c r="BC37" i="35" s="1"/>
  <c r="BC38" i="35" s="1"/>
  <c r="BD36" i="35" l="1"/>
  <c r="BD37" i="35" s="1"/>
  <c r="BD38" i="35" s="1"/>
  <c r="BE36" i="35" l="1"/>
  <c r="BE37" i="35" s="1"/>
  <c r="BE38" i="35" s="1"/>
  <c r="BF36" i="35" l="1"/>
  <c r="BF37" i="35" s="1"/>
  <c r="I44" i="35" s="1"/>
  <c r="I18" i="7" l="1"/>
  <c r="H68" i="1" s="1"/>
  <c r="I18" i="130"/>
  <c r="BF38" i="35"/>
  <c r="AD43" i="130" l="1"/>
  <c r="AD45" i="130" s="1"/>
  <c r="AD74" i="130" s="1"/>
  <c r="AE43" i="130"/>
  <c r="AE45" i="130" s="1"/>
  <c r="AE74" i="130" s="1"/>
  <c r="AF43" i="130"/>
  <c r="AF45" i="130" s="1"/>
  <c r="AF74" i="130" s="1"/>
  <c r="AG43" i="130"/>
  <c r="AG45" i="130" s="1"/>
  <c r="AG74" i="130" s="1"/>
  <c r="AF43" i="7"/>
  <c r="AF45" i="7" s="1"/>
  <c r="AF74" i="7" s="1"/>
  <c r="AG43" i="7"/>
  <c r="AG45" i="7" s="1"/>
  <c r="AG74" i="7" s="1"/>
  <c r="AD43" i="7"/>
  <c r="AD45" i="7" s="1"/>
  <c r="AE43" i="7"/>
  <c r="AE45" i="7" s="1"/>
  <c r="AE74" i="7" s="1"/>
  <c r="I43" i="7"/>
  <c r="I45" i="7" s="1"/>
  <c r="K43" i="7"/>
  <c r="K45" i="7" s="1"/>
  <c r="M43" i="7"/>
  <c r="M45" i="7" s="1"/>
  <c r="AA43" i="7"/>
  <c r="AA45" i="7" s="1"/>
  <c r="P43" i="7"/>
  <c r="P45" i="7" s="1"/>
  <c r="W43" i="7"/>
  <c r="W45" i="7" s="1"/>
  <c r="Q43" i="7"/>
  <c r="Q45" i="7" s="1"/>
  <c r="Y43" i="7"/>
  <c r="Y45" i="7" s="1"/>
  <c r="N43" i="7"/>
  <c r="N45" i="7" s="1"/>
  <c r="AB43" i="7"/>
  <c r="AB45" i="7" s="1"/>
  <c r="U43" i="7"/>
  <c r="U45" i="7" s="1"/>
  <c r="R43" i="7"/>
  <c r="R45" i="7" s="1"/>
  <c r="L43" i="7"/>
  <c r="AC43" i="7"/>
  <c r="AC45" i="7" s="1"/>
  <c r="S43" i="7"/>
  <c r="S45" i="7" s="1"/>
  <c r="Z43" i="7"/>
  <c r="Z45" i="7" s="1"/>
  <c r="T43" i="7"/>
  <c r="T45" i="7" s="1"/>
  <c r="X43" i="7"/>
  <c r="X45" i="7" s="1"/>
  <c r="V43" i="7"/>
  <c r="V45" i="7" s="1"/>
  <c r="J43" i="7"/>
  <c r="J45" i="7" s="1"/>
  <c r="O43" i="7"/>
  <c r="O45" i="7" s="1"/>
  <c r="AB43" i="130"/>
  <c r="AB45" i="130" s="1"/>
  <c r="AB74" i="130" s="1"/>
  <c r="AC43" i="130"/>
  <c r="AC45" i="130" s="1"/>
  <c r="AC74" i="130" s="1"/>
  <c r="AA43" i="130"/>
  <c r="AA45" i="130" s="1"/>
  <c r="AA74" i="130" s="1"/>
  <c r="Z43" i="130"/>
  <c r="Z45" i="130" s="1"/>
  <c r="Z74" i="130" s="1"/>
  <c r="Y43" i="130"/>
  <c r="Y45" i="130" s="1"/>
  <c r="Y74" i="130" s="1"/>
  <c r="I22" i="7"/>
  <c r="H72" i="1" s="1"/>
  <c r="I22" i="130"/>
  <c r="I43" i="130"/>
  <c r="I45" i="130" s="1"/>
  <c r="J43" i="130"/>
  <c r="J45" i="130" s="1"/>
  <c r="J74" i="130" s="1"/>
  <c r="K43" i="130"/>
  <c r="K45" i="130" s="1"/>
  <c r="K74" i="130" s="1"/>
  <c r="L43" i="130"/>
  <c r="L45" i="130" s="1"/>
  <c r="L74" i="130" s="1"/>
  <c r="M43" i="130"/>
  <c r="M45" i="130" s="1"/>
  <c r="M74" i="130" s="1"/>
  <c r="N43" i="130"/>
  <c r="N45" i="130" s="1"/>
  <c r="N74" i="130" s="1"/>
  <c r="O43" i="130"/>
  <c r="O45" i="130" s="1"/>
  <c r="O74" i="130" s="1"/>
  <c r="P43" i="130"/>
  <c r="P45" i="130" s="1"/>
  <c r="P74" i="130" s="1"/>
  <c r="Q43" i="130"/>
  <c r="Q45" i="130" s="1"/>
  <c r="Q74" i="130" s="1"/>
  <c r="R43" i="130"/>
  <c r="R45" i="130" s="1"/>
  <c r="R74" i="130" s="1"/>
  <c r="S43" i="130"/>
  <c r="S45" i="130" s="1"/>
  <c r="S74" i="130" s="1"/>
  <c r="T43" i="130"/>
  <c r="T45" i="130" s="1"/>
  <c r="T74" i="130" s="1"/>
  <c r="U43" i="130"/>
  <c r="U45" i="130" s="1"/>
  <c r="U74" i="130" s="1"/>
  <c r="V43" i="130"/>
  <c r="V45" i="130" s="1"/>
  <c r="V74" i="130" s="1"/>
  <c r="W43" i="130"/>
  <c r="W45" i="130" s="1"/>
  <c r="W74" i="130" s="1"/>
  <c r="X43" i="130"/>
  <c r="X45" i="130" s="1"/>
  <c r="X74" i="130" s="1"/>
  <c r="AD74" i="7" l="1"/>
  <c r="L45" i="7"/>
  <c r="L74" i="7" s="1"/>
  <c r="AA74" i="7"/>
  <c r="Y74" i="7"/>
  <c r="S74" i="7"/>
  <c r="Z74" i="7"/>
  <c r="AB74" i="7"/>
  <c r="AC74" i="7"/>
  <c r="M74" i="7"/>
  <c r="U74" i="7"/>
  <c r="T74" i="7"/>
  <c r="Q74" i="7"/>
  <c r="N74" i="7"/>
  <c r="W74" i="7"/>
  <c r="K74" i="7"/>
  <c r="V74" i="7"/>
  <c r="J74" i="7"/>
  <c r="P74" i="7"/>
  <c r="R74" i="7"/>
  <c r="O74" i="7"/>
  <c r="X74" i="7"/>
  <c r="I74" i="7"/>
  <c r="I74" i="130"/>
  <c r="E58" i="130"/>
  <c r="E58" i="7" l="1"/>
  <c r="F58" i="7" s="1"/>
  <c r="G58" i="7" s="1"/>
  <c r="F58" i="130"/>
  <c r="E60" i="130"/>
  <c r="F60" i="7" l="1"/>
  <c r="E60" i="7"/>
  <c r="G58" i="130"/>
  <c r="F60" i="130"/>
  <c r="H58" i="7"/>
  <c r="G60" i="7"/>
  <c r="I69" i="7" l="1"/>
  <c r="I70" i="7" s="1"/>
  <c r="U69" i="7"/>
  <c r="U70" i="7" s="1"/>
  <c r="U75" i="7" s="1"/>
  <c r="U78" i="7" s="1"/>
  <c r="U80" i="7" s="1"/>
  <c r="V69" i="7"/>
  <c r="V70" i="7" s="1"/>
  <c r="V75" i="7" s="1"/>
  <c r="V78" i="7" s="1"/>
  <c r="V80" i="7" s="1"/>
  <c r="W69" i="7"/>
  <c r="W70" i="7" s="1"/>
  <c r="W75" i="7" s="1"/>
  <c r="W78" i="7" s="1"/>
  <c r="W80" i="7" s="1"/>
  <c r="X69" i="7"/>
  <c r="X70" i="7" s="1"/>
  <c r="X75" i="7" s="1"/>
  <c r="X78" i="7" s="1"/>
  <c r="X80" i="7" s="1"/>
  <c r="Y69" i="7"/>
  <c r="Y70" i="7" s="1"/>
  <c r="Y75" i="7" s="1"/>
  <c r="Y78" i="7" s="1"/>
  <c r="Y80" i="7" s="1"/>
  <c r="K69" i="7"/>
  <c r="K70" i="7" s="1"/>
  <c r="K75" i="7" s="1"/>
  <c r="K78" i="7" s="1"/>
  <c r="K80" i="7" s="1"/>
  <c r="L69" i="7"/>
  <c r="L70" i="7" s="1"/>
  <c r="L75" i="7" s="1"/>
  <c r="L78" i="7" s="1"/>
  <c r="L80" i="7" s="1"/>
  <c r="AG69" i="7"/>
  <c r="AG70" i="7" s="1"/>
  <c r="O69" i="7"/>
  <c r="O70" i="7" s="1"/>
  <c r="O75" i="7" s="1"/>
  <c r="O78" i="7" s="1"/>
  <c r="O80" i="7" s="1"/>
  <c r="Q69" i="7"/>
  <c r="Q70" i="7" s="1"/>
  <c r="Q75" i="7" s="1"/>
  <c r="Q78" i="7" s="1"/>
  <c r="Q80" i="7" s="1"/>
  <c r="S69" i="7"/>
  <c r="S70" i="7" s="1"/>
  <c r="S75" i="7" s="1"/>
  <c r="S78" i="7" s="1"/>
  <c r="S80" i="7" s="1"/>
  <c r="Z69" i="7"/>
  <c r="Z70" i="7" s="1"/>
  <c r="Z75" i="7" s="1"/>
  <c r="Z78" i="7" s="1"/>
  <c r="Z80" i="7" s="1"/>
  <c r="AA69" i="7"/>
  <c r="AA70" i="7" s="1"/>
  <c r="AA75" i="7" s="1"/>
  <c r="AA78" i="7" s="1"/>
  <c r="AA80" i="7" s="1"/>
  <c r="AB69" i="7"/>
  <c r="AB70" i="7" s="1"/>
  <c r="AB75" i="7" s="1"/>
  <c r="AB78" i="7" s="1"/>
  <c r="AB80" i="7" s="1"/>
  <c r="AC69" i="7"/>
  <c r="AC70" i="7" s="1"/>
  <c r="J69" i="7"/>
  <c r="J70" i="7" s="1"/>
  <c r="J75" i="7" s="1"/>
  <c r="J78" i="7" s="1"/>
  <c r="J80" i="7" s="1"/>
  <c r="AD69" i="7"/>
  <c r="AD70" i="7" s="1"/>
  <c r="AE69" i="7"/>
  <c r="AE70" i="7" s="1"/>
  <c r="AF69" i="7"/>
  <c r="AF70" i="7" s="1"/>
  <c r="M69" i="7"/>
  <c r="M70" i="7" s="1"/>
  <c r="M75" i="7" s="1"/>
  <c r="M78" i="7" s="1"/>
  <c r="M80" i="7" s="1"/>
  <c r="N69" i="7"/>
  <c r="N70" i="7" s="1"/>
  <c r="N75" i="7" s="1"/>
  <c r="N78" i="7" s="1"/>
  <c r="N80" i="7" s="1"/>
  <c r="P69" i="7"/>
  <c r="P70" i="7" s="1"/>
  <c r="P75" i="7" s="1"/>
  <c r="P78" i="7" s="1"/>
  <c r="P80" i="7" s="1"/>
  <c r="R69" i="7"/>
  <c r="R70" i="7" s="1"/>
  <c r="R75" i="7" s="1"/>
  <c r="R78" i="7" s="1"/>
  <c r="R80" i="7" s="1"/>
  <c r="T69" i="7"/>
  <c r="T70" i="7" s="1"/>
  <c r="T75" i="7" s="1"/>
  <c r="T78" i="7" s="1"/>
  <c r="T80" i="7" s="1"/>
  <c r="H58" i="130"/>
  <c r="G60" i="130"/>
  <c r="I55" i="7"/>
  <c r="H60" i="7"/>
  <c r="H75" i="1"/>
  <c r="H83" i="1" l="1"/>
  <c r="O106" i="1"/>
  <c r="AE75" i="7"/>
  <c r="AE78" i="7" s="1"/>
  <c r="AE80" i="7" s="1"/>
  <c r="AF75" i="7"/>
  <c r="AF78" i="7" s="1"/>
  <c r="AF80" i="7" s="1"/>
  <c r="AD75" i="7"/>
  <c r="AD78" i="7" s="1"/>
  <c r="AD80" i="7" s="1"/>
  <c r="AC75" i="7"/>
  <c r="AC78" i="7" s="1"/>
  <c r="AC80" i="7" s="1"/>
  <c r="AG75" i="7"/>
  <c r="AG78" i="7" s="1"/>
  <c r="AG80" i="7" s="1"/>
  <c r="H80" i="1"/>
  <c r="H90" i="1"/>
  <c r="H76" i="1"/>
  <c r="H81" i="1" s="1"/>
  <c r="Y70" i="130"/>
  <c r="Y75" i="130" s="1"/>
  <c r="Y78" i="130" s="1"/>
  <c r="Y80" i="130" s="1"/>
  <c r="Q70" i="130"/>
  <c r="Q75" i="130" s="1"/>
  <c r="Q78" i="130" s="1"/>
  <c r="Q80" i="130" s="1"/>
  <c r="O70" i="130"/>
  <c r="AF70" i="130"/>
  <c r="P70" i="130"/>
  <c r="P75" i="130" s="1"/>
  <c r="P78" i="130" s="1"/>
  <c r="P80" i="130" s="1"/>
  <c r="W70" i="130"/>
  <c r="W75" i="130" s="1"/>
  <c r="W78" i="130" s="1"/>
  <c r="W80" i="130" s="1"/>
  <c r="AE70" i="130"/>
  <c r="AD70" i="130"/>
  <c r="V70" i="130"/>
  <c r="V75" i="130" s="1"/>
  <c r="V78" i="130" s="1"/>
  <c r="V80" i="130" s="1"/>
  <c r="N70" i="130"/>
  <c r="AC70" i="130"/>
  <c r="AB70" i="130"/>
  <c r="AB75" i="130" s="1"/>
  <c r="AB78" i="130" s="1"/>
  <c r="AB80" i="130" s="1"/>
  <c r="T70" i="130"/>
  <c r="T75" i="130" s="1"/>
  <c r="T78" i="130" s="1"/>
  <c r="T80" i="130" s="1"/>
  <c r="R70" i="130"/>
  <c r="R75" i="130" s="1"/>
  <c r="R78" i="130" s="1"/>
  <c r="R80" i="130" s="1"/>
  <c r="AA70" i="130"/>
  <c r="AA75" i="130" s="1"/>
  <c r="AA78" i="130" s="1"/>
  <c r="AA80" i="130" s="1"/>
  <c r="S70" i="130"/>
  <c r="S75" i="130" s="1"/>
  <c r="S78" i="130" s="1"/>
  <c r="S80" i="130" s="1"/>
  <c r="Z70" i="130"/>
  <c r="Z75" i="130" s="1"/>
  <c r="Z78" i="130" s="1"/>
  <c r="Z80" i="130" s="1"/>
  <c r="AG70" i="130"/>
  <c r="J70" i="130"/>
  <c r="X70" i="130"/>
  <c r="X75" i="130" s="1"/>
  <c r="X78" i="130" s="1"/>
  <c r="X80" i="130" s="1"/>
  <c r="K70" i="130"/>
  <c r="M70" i="130"/>
  <c r="L70" i="130"/>
  <c r="H60" i="130"/>
  <c r="I70" i="130"/>
  <c r="U70" i="130"/>
  <c r="U75" i="130" s="1"/>
  <c r="U78" i="130" s="1"/>
  <c r="U80" i="130" s="1"/>
  <c r="I55" i="130"/>
  <c r="I140" i="7"/>
  <c r="I141" i="7" s="1"/>
  <c r="I143" i="7" s="1"/>
  <c r="I75" i="7"/>
  <c r="I78" i="7" s="1"/>
  <c r="I80" i="7" s="1"/>
  <c r="H84" i="7" l="1"/>
  <c r="K15" i="103"/>
  <c r="M15" i="103" s="1"/>
  <c r="E18" i="131"/>
  <c r="T18" i="131" s="1"/>
  <c r="I66" i="130"/>
  <c r="AA66" i="130"/>
  <c r="S66" i="130"/>
  <c r="K66" i="130"/>
  <c r="Q66" i="130"/>
  <c r="Z66" i="130"/>
  <c r="R66" i="130"/>
  <c r="J66" i="130"/>
  <c r="Y66" i="130"/>
  <c r="X66" i="130"/>
  <c r="P66" i="130"/>
  <c r="N66" i="130"/>
  <c r="M66" i="130"/>
  <c r="AB66" i="130"/>
  <c r="W66" i="130"/>
  <c r="O66" i="130"/>
  <c r="V66" i="130"/>
  <c r="U66" i="130"/>
  <c r="T66" i="130"/>
  <c r="L66" i="130"/>
  <c r="AF75" i="130"/>
  <c r="AF78" i="130" s="1"/>
  <c r="AF80" i="130" s="1"/>
  <c r="AD75" i="130"/>
  <c r="AD78" i="130" s="1"/>
  <c r="AD80" i="130" s="1"/>
  <c r="AC75" i="130"/>
  <c r="AC78" i="130" s="1"/>
  <c r="AC80" i="130" s="1"/>
  <c r="AE75" i="130"/>
  <c r="AE78" i="130" s="1"/>
  <c r="AE80" i="130" s="1"/>
  <c r="AG75" i="130"/>
  <c r="AG78" i="130" s="1"/>
  <c r="AG80" i="130" s="1"/>
  <c r="J75" i="130"/>
  <c r="J78" i="130" s="1"/>
  <c r="J80" i="130" s="1"/>
  <c r="I140" i="130"/>
  <c r="I141" i="130" s="1"/>
  <c r="I143" i="130" s="1"/>
  <c r="I75" i="130"/>
  <c r="I78" i="130" s="1"/>
  <c r="I80" i="130" s="1"/>
  <c r="N75" i="130"/>
  <c r="N78" i="130" s="1"/>
  <c r="N80" i="130" s="1"/>
  <c r="L75" i="130"/>
  <c r="L78" i="130" s="1"/>
  <c r="L80" i="130" s="1"/>
  <c r="M75" i="130"/>
  <c r="M78" i="130" s="1"/>
  <c r="M80" i="130" s="1"/>
  <c r="O75" i="130"/>
  <c r="O78" i="130" s="1"/>
  <c r="O80" i="130" s="1"/>
  <c r="K75" i="130"/>
  <c r="K78" i="130" s="1"/>
  <c r="K80" i="130" s="1"/>
  <c r="I147" i="7"/>
  <c r="I154" i="7"/>
  <c r="H86" i="7" l="1"/>
  <c r="H84" i="130"/>
  <c r="I147" i="130"/>
  <c r="I154" i="130"/>
  <c r="J152" i="7"/>
  <c r="I155" i="7"/>
  <c r="J145" i="7"/>
  <c r="I148" i="7"/>
  <c r="H86" i="130" l="1"/>
  <c r="I155" i="130"/>
  <c r="J152" i="130"/>
  <c r="I148" i="130"/>
  <c r="J145" i="130"/>
  <c r="J146" i="7"/>
  <c r="J153" i="7"/>
  <c r="J153" i="130" l="1"/>
  <c r="J146" i="130"/>
  <c r="J142" i="7"/>
  <c r="J139" i="7"/>
  <c r="J140" i="7" s="1"/>
  <c r="J141" i="7" s="1"/>
  <c r="J139" i="130" l="1"/>
  <c r="J142" i="130"/>
  <c r="J143" i="7"/>
  <c r="J147" i="7" s="1"/>
  <c r="J140" i="130" l="1"/>
  <c r="J141" i="130" s="1"/>
  <c r="J143" i="130" s="1"/>
  <c r="J154" i="7"/>
  <c r="K152" i="7" s="1"/>
  <c r="K145" i="7"/>
  <c r="J148" i="7"/>
  <c r="J147" i="130" l="1"/>
  <c r="J154" i="130"/>
  <c r="J155" i="7"/>
  <c r="K146" i="7"/>
  <c r="K153" i="7"/>
  <c r="K152" i="130" l="1"/>
  <c r="J155" i="130"/>
  <c r="K145" i="130"/>
  <c r="J148" i="130"/>
  <c r="K142" i="7"/>
  <c r="K139" i="7"/>
  <c r="K140" i="7" s="1"/>
  <c r="K141" i="7" s="1"/>
  <c r="K146" i="130" l="1"/>
  <c r="K153" i="130"/>
  <c r="K143" i="7"/>
  <c r="K147" i="7" s="1"/>
  <c r="K142" i="130" l="1"/>
  <c r="K139" i="130"/>
  <c r="K140" i="130" s="1"/>
  <c r="K141" i="130" s="1"/>
  <c r="K154" i="7"/>
  <c r="L152" i="7" s="1"/>
  <c r="L145" i="7"/>
  <c r="K148" i="7"/>
  <c r="K143" i="130" l="1"/>
  <c r="K147" i="130" s="1"/>
  <c r="K155" i="7"/>
  <c r="L146" i="7"/>
  <c r="L153" i="7"/>
  <c r="K154" i="130" l="1"/>
  <c r="L152" i="130" s="1"/>
  <c r="L145" i="130"/>
  <c r="K148" i="130"/>
  <c r="L142" i="7"/>
  <c r="L139" i="7"/>
  <c r="L140" i="7" s="1"/>
  <c r="L141" i="7" s="1"/>
  <c r="K155" i="130" l="1"/>
  <c r="L146" i="130"/>
  <c r="L153" i="130"/>
  <c r="L143" i="7"/>
  <c r="L147" i="7" s="1"/>
  <c r="L142" i="130" l="1"/>
  <c r="L139" i="130"/>
  <c r="L140" i="130" s="1"/>
  <c r="L141" i="130" s="1"/>
  <c r="L154" i="7"/>
  <c r="M152" i="7" s="1"/>
  <c r="M145" i="7"/>
  <c r="L148" i="7"/>
  <c r="L143" i="130" l="1"/>
  <c r="L147" i="130" s="1"/>
  <c r="L155" i="7"/>
  <c r="M146" i="7"/>
  <c r="M153" i="7"/>
  <c r="L154" i="130" l="1"/>
  <c r="M152" i="130" s="1"/>
  <c r="M145" i="130"/>
  <c r="L148" i="130"/>
  <c r="M142" i="7"/>
  <c r="M139" i="7"/>
  <c r="L155" i="130" l="1"/>
  <c r="M146" i="130"/>
  <c r="M153" i="130"/>
  <c r="M140" i="7"/>
  <c r="M141" i="7" s="1"/>
  <c r="M143" i="7" s="1"/>
  <c r="M142" i="130" l="1"/>
  <c r="M139" i="130"/>
  <c r="M147" i="7"/>
  <c r="M154" i="7"/>
  <c r="M140" i="130" l="1"/>
  <c r="M141" i="130" s="1"/>
  <c r="M143" i="130" s="1"/>
  <c r="N152" i="7"/>
  <c r="M155" i="7"/>
  <c r="N145" i="7"/>
  <c r="M148" i="7"/>
  <c r="M147" i="130" l="1"/>
  <c r="M154" i="130"/>
  <c r="N146" i="7"/>
  <c r="N153" i="7"/>
  <c r="N152" i="130" l="1"/>
  <c r="M155" i="130"/>
  <c r="N145" i="130"/>
  <c r="M148" i="130"/>
  <c r="N142" i="7"/>
  <c r="N139" i="7"/>
  <c r="N146" i="130" l="1"/>
  <c r="N153" i="130"/>
  <c r="N140" i="7"/>
  <c r="N141" i="7" s="1"/>
  <c r="N143" i="7" s="1"/>
  <c r="N142" i="130" l="1"/>
  <c r="N139" i="130"/>
  <c r="N140" i="130" s="1"/>
  <c r="N141" i="130" s="1"/>
  <c r="N147" i="7"/>
  <c r="N154" i="7"/>
  <c r="N143" i="130" l="1"/>
  <c r="N147" i="130" s="1"/>
  <c r="O152" i="7"/>
  <c r="O153" i="7" s="1"/>
  <c r="N155" i="7"/>
  <c r="O145" i="7"/>
  <c r="N148" i="7"/>
  <c r="N154" i="130" l="1"/>
  <c r="O152" i="130" s="1"/>
  <c r="O145" i="130"/>
  <c r="N148" i="130"/>
  <c r="O146" i="7"/>
  <c r="O142" i="7"/>
  <c r="N155" i="130" l="1"/>
  <c r="O146" i="130"/>
  <c r="O153" i="130"/>
  <c r="O139" i="7"/>
  <c r="O142" i="130" l="1"/>
  <c r="O139" i="130"/>
  <c r="O140" i="7"/>
  <c r="O141" i="7" s="1"/>
  <c r="O143" i="7" s="1"/>
  <c r="O140" i="130" l="1"/>
  <c r="O141" i="130" s="1"/>
  <c r="O143" i="130" s="1"/>
  <c r="O147" i="7"/>
  <c r="O154" i="7"/>
  <c r="O154" i="130" l="1"/>
  <c r="O147" i="130"/>
  <c r="P152" i="7"/>
  <c r="O155" i="7"/>
  <c r="P145" i="7"/>
  <c r="O148" i="7"/>
  <c r="P145" i="130" l="1"/>
  <c r="O148" i="130"/>
  <c r="P152" i="130"/>
  <c r="O155" i="130"/>
  <c r="P146" i="7"/>
  <c r="P153" i="7"/>
  <c r="P153" i="130" l="1"/>
  <c r="P146" i="130"/>
  <c r="P142" i="7"/>
  <c r="P139" i="7"/>
  <c r="P140" i="7" s="1"/>
  <c r="P141" i="7" s="1"/>
  <c r="P139" i="130" l="1"/>
  <c r="P142" i="130"/>
  <c r="P143" i="7"/>
  <c r="P147" i="7" s="1"/>
  <c r="P140" i="130" l="1"/>
  <c r="P141" i="130" s="1"/>
  <c r="P143" i="130" s="1"/>
  <c r="P154" i="7"/>
  <c r="Q152" i="7" s="1"/>
  <c r="Q145" i="7"/>
  <c r="P148" i="7"/>
  <c r="P147" i="130" l="1"/>
  <c r="P154" i="130"/>
  <c r="P155" i="7"/>
  <c r="Q146" i="7"/>
  <c r="Q153" i="7"/>
  <c r="Q152" i="130" l="1"/>
  <c r="P155" i="130"/>
  <c r="Q145" i="130"/>
  <c r="P148" i="130"/>
  <c r="Q142" i="7"/>
  <c r="Q139" i="7"/>
  <c r="Q140" i="7" s="1"/>
  <c r="Q141" i="7" s="1"/>
  <c r="Q146" i="130" l="1"/>
  <c r="Q153" i="130"/>
  <c r="Q143" i="7"/>
  <c r="Q154" i="7" s="1"/>
  <c r="Q142" i="130" l="1"/>
  <c r="Q139" i="130"/>
  <c r="Q147" i="7"/>
  <c r="R145" i="7" s="1"/>
  <c r="R152" i="7"/>
  <c r="R153" i="7" s="1"/>
  <c r="Q155" i="7"/>
  <c r="Q140" i="130" l="1"/>
  <c r="Q141" i="130" s="1"/>
  <c r="Q143" i="130" s="1"/>
  <c r="Q148" i="7"/>
  <c r="R142" i="7"/>
  <c r="R146" i="7"/>
  <c r="Q147" i="130" l="1"/>
  <c r="Q154" i="130"/>
  <c r="R139" i="7"/>
  <c r="R152" i="130" l="1"/>
  <c r="Q155" i="130"/>
  <c r="R145" i="130"/>
  <c r="Q148" i="130"/>
  <c r="R140" i="7"/>
  <c r="R141" i="7" s="1"/>
  <c r="R143" i="7" s="1"/>
  <c r="R146" i="130" l="1"/>
  <c r="R153" i="130"/>
  <c r="R147" i="7"/>
  <c r="R154" i="7"/>
  <c r="R142" i="130" l="1"/>
  <c r="R139" i="130"/>
  <c r="S152" i="7"/>
  <c r="R155" i="7"/>
  <c r="S145" i="7"/>
  <c r="R148" i="7"/>
  <c r="R140" i="130" l="1"/>
  <c r="R141" i="130" s="1"/>
  <c r="R143" i="130" s="1"/>
  <c r="S146" i="7"/>
  <c r="S153" i="7"/>
  <c r="R147" i="130" l="1"/>
  <c r="R154" i="130"/>
  <c r="S142" i="7"/>
  <c r="S139" i="7"/>
  <c r="S140" i="7" s="1"/>
  <c r="S141" i="7" s="1"/>
  <c r="S152" i="130" l="1"/>
  <c r="R155" i="130"/>
  <c r="S145" i="130"/>
  <c r="R148" i="130"/>
  <c r="S143" i="7"/>
  <c r="S154" i="7" s="1"/>
  <c r="S146" i="130" l="1"/>
  <c r="S153" i="130"/>
  <c r="S147" i="7"/>
  <c r="T145" i="7" s="1"/>
  <c r="T152" i="7"/>
  <c r="S155" i="7"/>
  <c r="S142" i="130" l="1"/>
  <c r="S139" i="130"/>
  <c r="S140" i="130" s="1"/>
  <c r="S141" i="130" s="1"/>
  <c r="S148" i="7"/>
  <c r="T153" i="7"/>
  <c r="T146" i="7"/>
  <c r="S143" i="130" l="1"/>
  <c r="S147" i="130" s="1"/>
  <c r="T139" i="7"/>
  <c r="T142" i="7"/>
  <c r="S154" i="130" l="1"/>
  <c r="S155" i="130" s="1"/>
  <c r="T145" i="130"/>
  <c r="S148" i="130"/>
  <c r="T140" i="7"/>
  <c r="T141" i="7" s="1"/>
  <c r="T143" i="7" s="1"/>
  <c r="T152" i="130" l="1"/>
  <c r="T153" i="130" s="1"/>
  <c r="T146" i="130"/>
  <c r="T147" i="7"/>
  <c r="T154" i="7"/>
  <c r="T142" i="130" l="1"/>
  <c r="T139" i="130"/>
  <c r="U152" i="7"/>
  <c r="T155" i="7"/>
  <c r="U145" i="7"/>
  <c r="T148" i="7"/>
  <c r="T140" i="130" l="1"/>
  <c r="T141" i="130" s="1"/>
  <c r="T143" i="130" s="1"/>
  <c r="U146" i="7"/>
  <c r="U153" i="7"/>
  <c r="T147" i="130" l="1"/>
  <c r="T154" i="130"/>
  <c r="U142" i="7"/>
  <c r="U139" i="7"/>
  <c r="U140" i="7" s="1"/>
  <c r="U141" i="7" s="1"/>
  <c r="U152" i="130" l="1"/>
  <c r="T155" i="130"/>
  <c r="U145" i="130"/>
  <c r="T148" i="130"/>
  <c r="U143" i="7"/>
  <c r="U147" i="7" s="1"/>
  <c r="U146" i="130" l="1"/>
  <c r="U153" i="130"/>
  <c r="U154" i="7"/>
  <c r="V152" i="7" s="1"/>
  <c r="V145" i="7"/>
  <c r="U148" i="7"/>
  <c r="U142" i="130" l="1"/>
  <c r="U139" i="130"/>
  <c r="U140" i="130" s="1"/>
  <c r="U141" i="130" s="1"/>
  <c r="U155" i="7"/>
  <c r="V146" i="7"/>
  <c r="V153" i="7"/>
  <c r="U143" i="130" l="1"/>
  <c r="U147" i="130" s="1"/>
  <c r="V142" i="7"/>
  <c r="V139" i="7"/>
  <c r="V140" i="7" s="1"/>
  <c r="V141" i="7" s="1"/>
  <c r="U154" i="130" l="1"/>
  <c r="V152" i="130" s="1"/>
  <c r="V145" i="130"/>
  <c r="U148" i="130"/>
  <c r="V143" i="7"/>
  <c r="V154" i="7" s="1"/>
  <c r="U155" i="130" l="1"/>
  <c r="V146" i="130"/>
  <c r="V153" i="130"/>
  <c r="V147" i="7"/>
  <c r="W145" i="7" s="1"/>
  <c r="W152" i="7"/>
  <c r="V155" i="7"/>
  <c r="V142" i="130" l="1"/>
  <c r="V139" i="130"/>
  <c r="V140" i="130" s="1"/>
  <c r="V141" i="130" s="1"/>
  <c r="V148" i="7"/>
  <c r="W153" i="7"/>
  <c r="W146" i="7"/>
  <c r="V143" i="130" l="1"/>
  <c r="V147" i="130" s="1"/>
  <c r="W139" i="7"/>
  <c r="W142" i="7"/>
  <c r="V154" i="130" l="1"/>
  <c r="W152" i="130" s="1"/>
  <c r="W145" i="130"/>
  <c r="V148" i="130"/>
  <c r="W140" i="7"/>
  <c r="W141" i="7" s="1"/>
  <c r="W143" i="7" s="1"/>
  <c r="V155" i="130" l="1"/>
  <c r="W146" i="130"/>
  <c r="W153" i="130"/>
  <c r="W154" i="7"/>
  <c r="W147" i="7"/>
  <c r="W142" i="130" l="1"/>
  <c r="W139" i="130"/>
  <c r="W140" i="130" s="1"/>
  <c r="W141" i="130" s="1"/>
  <c r="X145" i="7"/>
  <c r="W148" i="7"/>
  <c r="X152" i="7"/>
  <c r="W155" i="7"/>
  <c r="W143" i="130" l="1"/>
  <c r="W154" i="130" s="1"/>
  <c r="X153" i="7"/>
  <c r="X146" i="7"/>
  <c r="W147" i="130" l="1"/>
  <c r="X145" i="130" s="1"/>
  <c r="X152" i="130"/>
  <c r="W155" i="130"/>
  <c r="X139" i="7"/>
  <c r="X142" i="7"/>
  <c r="W148" i="130" l="1"/>
  <c r="X153" i="130"/>
  <c r="X146" i="130"/>
  <c r="X140" i="7"/>
  <c r="X141" i="7" s="1"/>
  <c r="X143" i="7" s="1"/>
  <c r="X139" i="130" l="1"/>
  <c r="X140" i="130" s="1"/>
  <c r="X141" i="130" s="1"/>
  <c r="X142" i="130"/>
  <c r="X147" i="7"/>
  <c r="X154" i="7"/>
  <c r="X143" i="130" l="1"/>
  <c r="Y152" i="7"/>
  <c r="X155" i="7"/>
  <c r="Y145" i="7"/>
  <c r="X148" i="7"/>
  <c r="X147" i="130" l="1"/>
  <c r="X154" i="130"/>
  <c r="Y146" i="7"/>
  <c r="Y153" i="7"/>
  <c r="Y152" i="130" l="1"/>
  <c r="X155" i="130"/>
  <c r="Y145" i="130"/>
  <c r="X148" i="130"/>
  <c r="Y142" i="7"/>
  <c r="Y139" i="7"/>
  <c r="Y140" i="7" s="1"/>
  <c r="Y141" i="7" s="1"/>
  <c r="Y146" i="130" l="1"/>
  <c r="Y153" i="130"/>
  <c r="Y143" i="7"/>
  <c r="Y154" i="7" s="1"/>
  <c r="Y142" i="130" l="1"/>
  <c r="Y139" i="130"/>
  <c r="Y147" i="7"/>
  <c r="Z145" i="7" s="1"/>
  <c r="Z152" i="7"/>
  <c r="Y155" i="7"/>
  <c r="Y140" i="130" l="1"/>
  <c r="Y141" i="130" s="1"/>
  <c r="Y143" i="130" s="1"/>
  <c r="Y148" i="7"/>
  <c r="Z153" i="7"/>
  <c r="Z146" i="7"/>
  <c r="Y147" i="130" l="1"/>
  <c r="Y154" i="130"/>
  <c r="Z139" i="7"/>
  <c r="Z142" i="7"/>
  <c r="Z152" i="130" l="1"/>
  <c r="Y155" i="130"/>
  <c r="Z145" i="130"/>
  <c r="Y148" i="130"/>
  <c r="Z140" i="7"/>
  <c r="Z141" i="7" s="1"/>
  <c r="Z143" i="7" s="1"/>
  <c r="Z146" i="130" l="1"/>
  <c r="Z153" i="130"/>
  <c r="Z147" i="7"/>
  <c r="Z154" i="7"/>
  <c r="Z142" i="130" l="1"/>
  <c r="Z139" i="130"/>
  <c r="AA152" i="7"/>
  <c r="Z155" i="7"/>
  <c r="AA145" i="7"/>
  <c r="Z148" i="7"/>
  <c r="Z140" i="130" l="1"/>
  <c r="Z141" i="130" s="1"/>
  <c r="Z143" i="130" s="1"/>
  <c r="AA146" i="7"/>
  <c r="AA153" i="7"/>
  <c r="Z147" i="130" l="1"/>
  <c r="Z154" i="130"/>
  <c r="AA142" i="7"/>
  <c r="AA139" i="7"/>
  <c r="AA140" i="7" s="1"/>
  <c r="AA141" i="7" s="1"/>
  <c r="AA152" i="130" l="1"/>
  <c r="Z155" i="130"/>
  <c r="AA145" i="130"/>
  <c r="Z148" i="130"/>
  <c r="AA143" i="7"/>
  <c r="AA147" i="7" s="1"/>
  <c r="AA146" i="130" l="1"/>
  <c r="AA153" i="130"/>
  <c r="AA154" i="7"/>
  <c r="AB152" i="7" s="1"/>
  <c r="AB145" i="7"/>
  <c r="AA148" i="7"/>
  <c r="AB146" i="7" l="1"/>
  <c r="AB139" i="7" s="1"/>
  <c r="AB140" i="7" s="1"/>
  <c r="AB141" i="7" s="1"/>
  <c r="AB153" i="7"/>
  <c r="AB142" i="7" s="1"/>
  <c r="AA142" i="130"/>
  <c r="AA139" i="130"/>
  <c r="AA140" i="130" s="1"/>
  <c r="AA141" i="130" s="1"/>
  <c r="AA155" i="7"/>
  <c r="G34" i="45"/>
  <c r="AB143" i="7" l="1"/>
  <c r="AB147" i="7" s="1"/>
  <c r="AB148" i="7" s="1"/>
  <c r="AA143" i="130"/>
  <c r="AA147" i="130" s="1"/>
  <c r="AC145" i="7" l="1"/>
  <c r="AC146" i="7" s="1"/>
  <c r="AC139" i="7" s="1"/>
  <c r="AC140" i="7" s="1"/>
  <c r="AC141" i="7" s="1"/>
  <c r="AB154" i="7"/>
  <c r="AB155" i="7" s="1"/>
  <c r="AA154" i="130"/>
  <c r="AB152" i="130" s="1"/>
  <c r="AB145" i="130"/>
  <c r="AA148" i="130"/>
  <c r="F19" i="1"/>
  <c r="AC152" i="7" l="1"/>
  <c r="AC153" i="7" s="1"/>
  <c r="AC142" i="7" s="1"/>
  <c r="AC143" i="7" s="1"/>
  <c r="AB146" i="130"/>
  <c r="AB139" i="130" s="1"/>
  <c r="AB140" i="130" s="1"/>
  <c r="AB141" i="130" s="1"/>
  <c r="AB153" i="130"/>
  <c r="AB142" i="130" s="1"/>
  <c r="AA155" i="130"/>
  <c r="D98" i="1"/>
  <c r="AB143" i="130" l="1"/>
  <c r="AB154" i="130" s="1"/>
  <c r="AB155" i="130" s="1"/>
  <c r="AC154" i="7"/>
  <c r="AC147" i="7"/>
  <c r="AC152" i="130" l="1"/>
  <c r="AC153" i="130" s="1"/>
  <c r="AC142" i="130" s="1"/>
  <c r="AB147" i="130"/>
  <c r="AB148" i="130" s="1"/>
  <c r="AC148" i="7"/>
  <c r="AD145" i="7"/>
  <c r="AC155" i="7"/>
  <c r="AD152" i="7"/>
  <c r="A13" i="48" a="1"/>
  <c r="A13" i="48" s="1"/>
  <c r="F12" i="48"/>
  <c r="AC145" i="130" l="1"/>
  <c r="AC146" i="130" s="1"/>
  <c r="AC139" i="130" s="1"/>
  <c r="AC140" i="130" s="1"/>
  <c r="AC141" i="130" s="1"/>
  <c r="AC143" i="130" s="1"/>
  <c r="AD153" i="7"/>
  <c r="AD142" i="7" s="1"/>
  <c r="AD146" i="7"/>
  <c r="AD139" i="7" s="1"/>
  <c r="AD140" i="7" s="1"/>
  <c r="AD141" i="7" s="1"/>
  <c r="A16" i="48" a="1"/>
  <c r="A16" i="48" s="1"/>
  <c r="F16" i="48" s="1"/>
  <c r="G17" i="48" s="1"/>
  <c r="F13" i="48"/>
  <c r="A17" i="48" l="1" a="1"/>
  <c r="A17" i="48" s="1"/>
  <c r="F17" i="48" s="1"/>
  <c r="G22" i="48" s="1"/>
  <c r="AD143" i="7"/>
  <c r="AD147" i="7" s="1"/>
  <c r="AC147" i="130"/>
  <c r="AC154" i="130"/>
  <c r="A19" i="48" l="1" a="1"/>
  <c r="A19" i="48" s="1"/>
  <c r="AD154" i="7"/>
  <c r="AD155" i="7" s="1"/>
  <c r="AC155" i="130"/>
  <c r="AD152" i="130"/>
  <c r="AC148" i="130"/>
  <c r="AD145" i="130"/>
  <c r="AE152" i="7"/>
  <c r="AD148" i="7"/>
  <c r="AE145" i="7"/>
  <c r="F19" i="48"/>
  <c r="G20" i="48" s="1"/>
  <c r="A20" i="48" a="1"/>
  <c r="A20" i="48" s="1"/>
  <c r="F20" i="48" s="1"/>
  <c r="AE146" i="7" l="1"/>
  <c r="AE139" i="7" s="1"/>
  <c r="AE140" i="7" s="1"/>
  <c r="AE141" i="7" s="1"/>
  <c r="AE153" i="7"/>
  <c r="AE142" i="7" s="1"/>
  <c r="AD146" i="130"/>
  <c r="AD139" i="130" s="1"/>
  <c r="AD140" i="130" s="1"/>
  <c r="AD141" i="130" s="1"/>
  <c r="AD153" i="130"/>
  <c r="AD142" i="130" s="1"/>
  <c r="A22" i="48" a="1"/>
  <c r="A22" i="48" s="1"/>
  <c r="A25" i="48" s="1" a="1"/>
  <c r="A25" i="48" s="1"/>
  <c r="F25" i="48" s="1"/>
  <c r="AD143" i="130" l="1"/>
  <c r="AD147" i="130" s="1"/>
  <c r="AE143" i="7"/>
  <c r="F22" i="48"/>
  <c r="A26" i="48" a="1"/>
  <c r="A26" i="48" s="1"/>
  <c r="AD154" i="130" l="1"/>
  <c r="AD155" i="130" s="1"/>
  <c r="AE154" i="7"/>
  <c r="AE147" i="7"/>
  <c r="AD148" i="130"/>
  <c r="AE145" i="130"/>
  <c r="F26" i="48"/>
  <c r="G29" i="48" s="1"/>
  <c r="A29" i="48" a="1"/>
  <c r="A29" i="48" s="1"/>
  <c r="F29" i="48" s="1"/>
  <c r="G30" i="48" s="1"/>
  <c r="AE152" i="130" l="1"/>
  <c r="AE153" i="130" s="1"/>
  <c r="AE142" i="130" s="1"/>
  <c r="AE146" i="130"/>
  <c r="AE139" i="130" s="1"/>
  <c r="AE140" i="130" s="1"/>
  <c r="AE141" i="130" s="1"/>
  <c r="AE148" i="7"/>
  <c r="AF145" i="7"/>
  <c r="AE155" i="7"/>
  <c r="AF152" i="7"/>
  <c r="A30" i="48" a="1"/>
  <c r="A30" i="48" s="1"/>
  <c r="AE143" i="130" l="1"/>
  <c r="AE147" i="130" s="1"/>
  <c r="AF153" i="7"/>
  <c r="AF142" i="7" s="1"/>
  <c r="AF146" i="7"/>
  <c r="AF139" i="7" s="1"/>
  <c r="AF140" i="7" s="1"/>
  <c r="AF141" i="7" s="1"/>
  <c r="F30" i="48"/>
  <c r="AF143" i="7" l="1"/>
  <c r="AF147" i="7" s="1"/>
  <c r="AE154" i="130"/>
  <c r="AE155" i="130" s="1"/>
  <c r="AE148" i="130"/>
  <c r="AF145" i="130"/>
  <c r="AF152" i="130" l="1"/>
  <c r="AF153" i="130" s="1"/>
  <c r="AF142" i="130" s="1"/>
  <c r="AF154" i="7"/>
  <c r="AF155" i="7" s="1"/>
  <c r="AF146" i="130"/>
  <c r="AF139" i="130" s="1"/>
  <c r="AF140" i="130" s="1"/>
  <c r="AF141" i="130" s="1"/>
  <c r="AG152" i="7"/>
  <c r="AG153" i="7" s="1"/>
  <c r="AG142" i="7" s="1"/>
  <c r="AF148" i="7"/>
  <c r="AG145" i="7"/>
  <c r="AG146" i="7" s="1"/>
  <c r="AG139" i="7" s="1"/>
  <c r="AG140" i="7" s="1"/>
  <c r="AG141" i="7" s="1"/>
  <c r="AF143" i="130" l="1"/>
  <c r="AF147" i="130" s="1"/>
  <c r="AG143" i="7"/>
  <c r="A13" i="68" a="1"/>
  <c r="A13" i="68" s="1"/>
  <c r="F12" i="68"/>
  <c r="AF154" i="130" l="1"/>
  <c r="AF155" i="130" s="1"/>
  <c r="AG154" i="7"/>
  <c r="AG155" i="7" s="1"/>
  <c r="H156" i="7" s="1"/>
  <c r="H157" i="7" s="1"/>
  <c r="AG147" i="7"/>
  <c r="AG148" i="7" s="1"/>
  <c r="H149" i="7" s="1"/>
  <c r="H150" i="7" s="1"/>
  <c r="AG152" i="130"/>
  <c r="AG153" i="130" s="1"/>
  <c r="AG142" i="130" s="1"/>
  <c r="AF148" i="130"/>
  <c r="AG145" i="130"/>
  <c r="AG146" i="130" s="1"/>
  <c r="AG139" i="130" s="1"/>
  <c r="AG140" i="130" s="1"/>
  <c r="AG141" i="130" s="1"/>
  <c r="A16" i="68" a="1"/>
  <c r="A16" i="68" s="1"/>
  <c r="F16" i="68" s="1"/>
  <c r="G17" i="68" s="1"/>
  <c r="F13" i="68"/>
  <c r="AG143" i="130" l="1"/>
  <c r="AG154" i="130" s="1"/>
  <c r="AG155" i="130" s="1"/>
  <c r="H156" i="130" s="1"/>
  <c r="H157" i="130" s="1"/>
  <c r="A17" i="68" a="1"/>
  <c r="A17" i="68" s="1"/>
  <c r="AG147" i="130" l="1"/>
  <c r="AG148" i="130" s="1"/>
  <c r="H149" i="130" s="1"/>
  <c r="H150" i="130" s="1"/>
  <c r="F17" i="68"/>
  <c r="G22" i="68" s="1"/>
  <c r="A19" i="68" a="1"/>
  <c r="A19" i="68" s="1"/>
  <c r="F19" i="68" s="1"/>
  <c r="G20" i="68" s="1"/>
  <c r="A20" i="68" l="1" a="1"/>
  <c r="A20" i="68" s="1"/>
  <c r="F20" i="68" s="1"/>
  <c r="A22" i="68" l="1" a="1"/>
  <c r="A22" i="68" s="1"/>
  <c r="F22" i="68" s="1"/>
  <c r="A25" i="68" l="1" a="1"/>
  <c r="A25" i="68" s="1"/>
  <c r="F25" i="68" s="1"/>
  <c r="A26" i="68" a="1"/>
  <c r="A26" i="68" s="1"/>
  <c r="F26" i="68" l="1"/>
  <c r="G29" i="68" s="1"/>
  <c r="A29" i="68" a="1"/>
  <c r="A29" i="68" s="1"/>
  <c r="F29" i="68" s="1"/>
  <c r="G30" i="68" s="1"/>
  <c r="A30" i="68" l="1" a="1"/>
  <c r="A30" i="68" s="1"/>
  <c r="F30" i="68" s="1"/>
  <c r="A13" i="47" l="1" a="1"/>
  <c r="A13" i="47" s="1"/>
  <c r="F12" i="47"/>
  <c r="A16" i="47" l="1" a="1"/>
  <c r="A16" i="47" s="1"/>
  <c r="F16" i="47" s="1"/>
  <c r="G17" i="47" s="1"/>
  <c r="F13" i="47"/>
  <c r="A17" i="47" l="1" a="1"/>
  <c r="A17" i="47" s="1"/>
  <c r="F17" i="47" s="1"/>
  <c r="G22" i="47" s="1"/>
  <c r="A19" i="47" l="1" a="1"/>
  <c r="A19" i="47" s="1"/>
  <c r="F19" i="47" s="1"/>
  <c r="G20" i="47" s="1"/>
  <c r="A20" i="47" a="1"/>
  <c r="A20" i="47" s="1"/>
  <c r="F20" i="47" s="1"/>
  <c r="A22" i="47" l="1" a="1"/>
  <c r="A22" i="47" s="1"/>
  <c r="F22" i="47"/>
  <c r="A25" i="47" a="1"/>
  <c r="A25" i="47" s="1"/>
  <c r="F25" i="47" s="1"/>
  <c r="A26" i="47" l="1" a="1"/>
  <c r="A26" i="47" s="1"/>
  <c r="F26" i="47" l="1"/>
  <c r="A27" i="47" a="1"/>
  <c r="A27" i="47" s="1"/>
  <c r="F27" i="47" l="1"/>
  <c r="A31" i="47" a="1"/>
  <c r="A31" i="47" s="1"/>
  <c r="G31" i="47"/>
  <c r="F31" i="47" l="1"/>
  <c r="G32" i="47" s="1"/>
  <c r="A32" i="47" a="1"/>
  <c r="A32" i="47" s="1"/>
  <c r="F32" i="47" l="1"/>
  <c r="R1" i="131" l="1"/>
  <c r="Q10" i="131" s="1"/>
  <c r="T1" i="131" l="1"/>
  <c r="T10" i="131" s="1"/>
  <c r="F21" i="1" l="1"/>
  <c r="D99" i="1" s="1"/>
  <c r="F22" i="1"/>
  <c r="G62" i="1" l="1"/>
  <c r="F23" i="1"/>
  <c r="G61" i="1" l="1"/>
  <c r="F24" i="1"/>
  <c r="D100" i="1" s="1"/>
  <c r="F25" i="1"/>
  <c r="D101" i="1" s="1"/>
  <c r="F28" i="1"/>
  <c r="D104" i="1" s="1"/>
  <c r="F27" i="1"/>
  <c r="D102" i="1" s="1"/>
  <c r="A36" i="1"/>
  <c r="F36" i="1" s="1"/>
  <c r="D109" i="1" s="1"/>
  <c r="F30" i="1"/>
  <c r="D108" i="1" s="1"/>
  <c r="F29" i="1"/>
  <c r="D105" i="1" s="1"/>
  <c r="A37" i="1" l="1"/>
  <c r="A38" i="1" l="1"/>
  <c r="F37" i="1"/>
  <c r="D110" i="1" s="1"/>
  <c r="A39" i="1"/>
  <c r="F39" i="1" s="1"/>
  <c r="D111" i="1" s="1"/>
  <c r="A42" i="1" l="1"/>
  <c r="F42" i="1" s="1"/>
  <c r="D112" i="1" s="1"/>
  <c r="G38" i="1"/>
  <c r="A45" i="1"/>
  <c r="F38" i="1"/>
  <c r="F45" i="1" l="1"/>
  <c r="D113" i="1" s="1"/>
  <c r="A46" i="1"/>
  <c r="F46" i="1" s="1"/>
  <c r="A48" i="1" l="1"/>
  <c r="F48" i="1" l="1"/>
  <c r="A49" i="1"/>
  <c r="A51" i="1" s="1"/>
  <c r="F49" i="1" l="1"/>
  <c r="F51" i="1"/>
  <c r="D117" i="1" s="1"/>
  <c r="A53" i="1" l="1"/>
  <c r="F53" i="1" l="1"/>
  <c r="D115" i="1" s="1"/>
  <c r="A55" i="1" l="1"/>
  <c r="F55" i="1" l="1"/>
  <c r="A56" i="1"/>
  <c r="F56" i="1" l="1"/>
  <c r="A59" i="1"/>
  <c r="F59" i="1" l="1"/>
  <c r="D119" i="1" s="1"/>
  <c r="A60" i="1"/>
  <c r="F60" i="1" l="1"/>
  <c r="A61" i="1" l="1"/>
  <c r="G82" i="1"/>
  <c r="D120" i="1"/>
  <c r="F61" i="1" l="1"/>
  <c r="A62" i="1"/>
  <c r="F62" i="1" l="1"/>
  <c r="A67" i="1"/>
  <c r="F67" i="1" l="1"/>
  <c r="A68" i="1"/>
  <c r="F68" i="1" l="1"/>
  <c r="A69" i="1"/>
  <c r="F69" i="1" l="1"/>
  <c r="A71" i="1"/>
  <c r="F71" i="1" l="1"/>
  <c r="G87" i="1" s="1"/>
  <c r="A72" i="1"/>
  <c r="F72" i="1" l="1"/>
  <c r="A73" i="1"/>
  <c r="F73" i="1" l="1"/>
  <c r="G88" i="1" s="1"/>
  <c r="A75" i="1"/>
  <c r="F75" i="1" l="1"/>
  <c r="G80" i="1" s="1"/>
  <c r="A76" i="1"/>
  <c r="F76" i="1" l="1"/>
  <c r="G81" i="1" s="1"/>
  <c r="A80" i="1"/>
  <c r="F80" i="1" l="1"/>
  <c r="A81" i="1"/>
  <c r="F81" i="1" l="1"/>
  <c r="A82" i="1"/>
  <c r="F82" i="1" l="1"/>
  <c r="A83" i="1"/>
  <c r="F83" i="1" l="1"/>
  <c r="D121" i="1" s="1"/>
  <c r="A84" i="1"/>
  <c r="F84" i="1" l="1"/>
  <c r="A85" i="1"/>
  <c r="F85" i="1" l="1"/>
  <c r="A86" i="1"/>
  <c r="F86" i="1" l="1"/>
  <c r="A87" i="1"/>
  <c r="F87" i="1" l="1"/>
  <c r="A88" i="1"/>
  <c r="F88" i="1" l="1"/>
  <c r="A89" i="1"/>
  <c r="F89" i="1" l="1"/>
  <c r="A90" i="1"/>
  <c r="A91" i="1" s="1"/>
  <c r="F91" i="1" l="1"/>
  <c r="D122" i="1" s="1"/>
  <c r="A92" i="1"/>
  <c r="F92" i="1" l="1"/>
  <c r="D123" i="1" s="1"/>
  <c r="A93" i="1"/>
  <c r="F93" i="1" s="1"/>
  <c r="D36" i="105" s="1"/>
  <c r="G93" i="1" l="1"/>
  <c r="A12" i="32" l="1"/>
  <c r="A13" i="32" s="1"/>
  <c r="A14" i="32" l="1"/>
  <c r="F14" i="32" s="1"/>
  <c r="D48" i="32" s="1"/>
  <c r="A15" i="32"/>
  <c r="F12" i="32"/>
  <c r="F13" i="32"/>
  <c r="F15" i="32" l="1"/>
  <c r="A16" i="32"/>
  <c r="A17" i="32" s="1"/>
  <c r="F17" i="32" s="1"/>
  <c r="D50" i="32" s="1"/>
  <c r="F16" i="32" l="1"/>
  <c r="A18" i="32"/>
  <c r="A19" i="32" s="1"/>
  <c r="F18" i="32"/>
  <c r="D49" i="32" s="1"/>
  <c r="A20" i="32" l="1"/>
  <c r="A21" i="32" s="1"/>
  <c r="A22" i="32" s="1"/>
  <c r="F19" i="32"/>
  <c r="F20" i="32" l="1"/>
  <c r="F21" i="32" l="1"/>
  <c r="A26" i="32" l="1"/>
  <c r="F22" i="32"/>
  <c r="A27" i="32" l="1"/>
  <c r="A28" i="32"/>
  <c r="F28" i="32" s="1"/>
  <c r="D51" i="32" s="1"/>
  <c r="F26" i="32"/>
  <c r="G27" i="32" s="1"/>
  <c r="F27" i="32" l="1"/>
  <c r="A29" i="32"/>
  <c r="A30" i="32" l="1"/>
  <c r="F29" i="32"/>
  <c r="F30" i="32" l="1"/>
  <c r="A33" i="32"/>
  <c r="A34" i="32" l="1"/>
  <c r="F33" i="32"/>
  <c r="A38" i="32" l="1"/>
  <c r="F34" i="32"/>
  <c r="G42" i="32" l="1"/>
  <c r="D52" i="32"/>
  <c r="G41" i="32"/>
  <c r="F38" i="32"/>
  <c r="A39" i="32"/>
  <c r="A40" i="32" l="1"/>
  <c r="F39" i="32"/>
  <c r="A41" i="32" l="1"/>
  <c r="F40" i="32"/>
  <c r="F41" i="32" l="1"/>
  <c r="A42" i="32"/>
  <c r="F42" i="32" l="1"/>
  <c r="A43" i="32"/>
  <c r="F43" i="32" s="1"/>
  <c r="D53" i="32" l="1"/>
  <c r="G43"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<sst xmlns="http://schemas.openxmlformats.org/spreadsheetml/2006/main" count="2567" uniqueCount="699">
  <si>
    <t>Control Table</t>
  </si>
  <si>
    <t>Technology</t>
  </si>
  <si>
    <t>Levelization Method</t>
  </si>
  <si>
    <t>Overnight Cost</t>
  </si>
  <si>
    <t>MW</t>
  </si>
  <si>
    <t>$/kW</t>
  </si>
  <si>
    <t>Depreciable Cost</t>
  </si>
  <si>
    <t>Installed Cost</t>
  </si>
  <si>
    <t>Economic Life</t>
  </si>
  <si>
    <t>Debt Fraction</t>
  </si>
  <si>
    <t>%</t>
  </si>
  <si>
    <t>Total Income Tax Rate</t>
  </si>
  <si>
    <t>State Tax Rate</t>
  </si>
  <si>
    <t>Federal Tax Rate</t>
  </si>
  <si>
    <t>Equity Rate</t>
  </si>
  <si>
    <t>Debt Rate</t>
  </si>
  <si>
    <t>Tax Depreciation Schedule</t>
  </si>
  <si>
    <t>Bonus Depreciaton</t>
  </si>
  <si>
    <t>ATWACC Nominal</t>
  </si>
  <si>
    <t>Calculated Scalars</t>
  </si>
  <si>
    <t>Interest During Construction</t>
  </si>
  <si>
    <t>Construction Debt Fraction</t>
  </si>
  <si>
    <t>Level-Real</t>
  </si>
  <si>
    <t>Level-Nominal</t>
  </si>
  <si>
    <t>Units</t>
  </si>
  <si>
    <t>Land Cost</t>
  </si>
  <si>
    <t xml:space="preserve">Notes and Sources: </t>
  </si>
  <si>
    <t>Year</t>
  </si>
  <si>
    <t>Modified Accelerated Cost Recovery System (MACRS)</t>
  </si>
  <si>
    <t>3-year</t>
  </si>
  <si>
    <t>5-year</t>
  </si>
  <si>
    <t>7-year</t>
  </si>
  <si>
    <t>10-year</t>
  </si>
  <si>
    <t>15-year</t>
  </si>
  <si>
    <t>20-year</t>
  </si>
  <si>
    <t>Straight Line Deprecation (SLD)</t>
  </si>
  <si>
    <t>30-year</t>
  </si>
  <si>
    <t>40-year</t>
  </si>
  <si>
    <t>50-year</t>
  </si>
  <si>
    <t>See notes</t>
  </si>
  <si>
    <t>Inputs</t>
  </si>
  <si>
    <t xml:space="preserve">First Year Fixed O&amp;M </t>
  </si>
  <si>
    <t>$</t>
  </si>
  <si>
    <t>Property Tax</t>
  </si>
  <si>
    <t>First Year Firm Gas Cost</t>
  </si>
  <si>
    <t>Annual Fixed O&amp;M Costs (Nominal)</t>
  </si>
  <si>
    <t>Augmentation Schedule</t>
  </si>
  <si>
    <t>Augmentation</t>
  </si>
  <si>
    <t>Working Capital</t>
  </si>
  <si>
    <t>Total FOM Cost</t>
  </si>
  <si>
    <t>Notes and Sources:</t>
  </si>
  <si>
    <t>Months To Completion</t>
  </si>
  <si>
    <t>Monthly Debt Rate</t>
  </si>
  <si>
    <t>Monthly ATWACC</t>
  </si>
  <si>
    <t>Month of Construction</t>
  </si>
  <si>
    <t>Date</t>
  </si>
  <si>
    <t>Cash Flow</t>
  </si>
  <si>
    <t>Capital Cost Cash Flow</t>
  </si>
  <si>
    <t>IDC + Depreciable Assets</t>
  </si>
  <si>
    <t>Cumulative Dollars Spent</t>
  </si>
  <si>
    <t>Unit Installed Cost</t>
  </si>
  <si>
    <t>Additional Components to First Year Revenue Requirement</t>
  </si>
  <si>
    <t>Tax Depreciation</t>
  </si>
  <si>
    <t>Operating Costs</t>
  </si>
  <si>
    <t>Total</t>
  </si>
  <si>
    <t>Summary of Cash Flows</t>
  </si>
  <si>
    <t>Revenue Requirement</t>
  </si>
  <si>
    <t>All-Equity Cash Flow</t>
  </si>
  <si>
    <t>Assessment of Cost Recovery</t>
  </si>
  <si>
    <t>All-Equity Cash Flow, NPV Discounted at ATWACC</t>
  </si>
  <si>
    <t>Cash Flow Recovers Installed Cost?</t>
  </si>
  <si>
    <t>Mon. Until</t>
  </si>
  <si>
    <t xml:space="preserve">50% of </t>
  </si>
  <si>
    <t>Construction Month</t>
  </si>
  <si>
    <t>Completion</t>
  </si>
  <si>
    <t>Drawdown</t>
  </si>
  <si>
    <t>O&amp;M Costs</t>
  </si>
  <si>
    <t>EPC Contractor Fee</t>
  </si>
  <si>
    <t>% of other EPC costs</t>
  </si>
  <si>
    <t>EPC Contingency</t>
  </si>
  <si>
    <t>Project Development Cost</t>
  </si>
  <si>
    <t>% of EPC costs</t>
  </si>
  <si>
    <t>Mobilization and Start-Up Cost</t>
  </si>
  <si>
    <t>Non-Fuel Inventories</t>
  </si>
  <si>
    <t>Owner's Contingency</t>
  </si>
  <si>
    <t>Financing Fees</t>
  </si>
  <si>
    <t>Other Labor</t>
  </si>
  <si>
    <t>Electric Interconnection</t>
  </si>
  <si>
    <t>Gas Interconnection</t>
  </si>
  <si>
    <t>miles</t>
  </si>
  <si>
    <t>Land</t>
  </si>
  <si>
    <t>Acreage</t>
  </si>
  <si>
    <t>acre</t>
  </si>
  <si>
    <t>Insurance</t>
  </si>
  <si>
    <t>% of Overnight Capital Costs</t>
  </si>
  <si>
    <t>-</t>
  </si>
  <si>
    <t>MWh</t>
  </si>
  <si>
    <t>Labor</t>
  </si>
  <si>
    <t>Location</t>
  </si>
  <si>
    <t>Sales Tax</t>
  </si>
  <si>
    <t>EPC Costs</t>
  </si>
  <si>
    <t>Equipment</t>
  </si>
  <si>
    <t>Other Equipment</t>
  </si>
  <si>
    <t>Construction Labor</t>
  </si>
  <si>
    <t xml:space="preserve">Other Labor </t>
  </si>
  <si>
    <t>Materials</t>
  </si>
  <si>
    <t>Total EPC Costs</t>
  </si>
  <si>
    <t>Non-EPC Costs</t>
  </si>
  <si>
    <t>Net Start-Up Fuel Costs</t>
  </si>
  <si>
    <t>Electrical Interconnection</t>
  </si>
  <si>
    <t>Fuel Inventories</t>
  </si>
  <si>
    <t>Subtotal - Non-EPC Costs w/o Financing Fees</t>
  </si>
  <si>
    <t>Total Non-EPC Costs</t>
  </si>
  <si>
    <t>Overnight Capital Costs ($/kW)</t>
  </si>
  <si>
    <t xml:space="preserve">    </t>
  </si>
  <si>
    <t>Consumables</t>
  </si>
  <si>
    <t>MWac</t>
  </si>
  <si>
    <t>Design Life (amortization period)</t>
  </si>
  <si>
    <t>years</t>
  </si>
  <si>
    <t>Rated Output Frequency</t>
  </si>
  <si>
    <t>Hz</t>
  </si>
  <si>
    <t>EFOR (annual)</t>
  </si>
  <si>
    <t>AC Losses</t>
  </si>
  <si>
    <t>Line Loss GSU to POI</t>
  </si>
  <si>
    <t>GSU Loss</t>
  </si>
  <si>
    <t>Auxuliary Load</t>
  </si>
  <si>
    <t>Line Loss PCS XFMR to GSU</t>
  </si>
  <si>
    <t>PCS XFMR Loss</t>
  </si>
  <si>
    <t>Total AC Loss (for PCS Inverter Sizing)</t>
  </si>
  <si>
    <t>Gross Inverter Output Power Required</t>
  </si>
  <si>
    <t xml:space="preserve">Inverter Power </t>
  </si>
  <si>
    <t>Inverter Loss</t>
  </si>
  <si>
    <t>Battery Capacity Losses</t>
  </si>
  <si>
    <t>Battery Capacity Loss (1st year)</t>
  </si>
  <si>
    <t>Annual Degradation (after 1st year)</t>
  </si>
  <si>
    <t>Augmentation Period</t>
  </si>
  <si>
    <t>yrs</t>
  </si>
  <si>
    <t>Battery Capacity Loss (at 1st aug)</t>
  </si>
  <si>
    <t>Maximum State of Charge</t>
  </si>
  <si>
    <t>Minimum State of Charge</t>
  </si>
  <si>
    <t>Total Output Restriction at BOL</t>
  </si>
  <si>
    <t>Gross Energy Initial Installation</t>
  </si>
  <si>
    <t>Number of Augmentations</t>
  </si>
  <si>
    <t>Gross MWh per Augmentation</t>
  </si>
  <si>
    <t>Owner Contingency</t>
  </si>
  <si>
    <t>Batteries and Enclosures</t>
  </si>
  <si>
    <t>PCS and BOP Equipment</t>
  </si>
  <si>
    <t>Project Development</t>
  </si>
  <si>
    <t>Mobilization and Start-Up</t>
  </si>
  <si>
    <t>Before Cost Escalation</t>
  </si>
  <si>
    <t>Overall Costs</t>
  </si>
  <si>
    <t>Overnight Capital Costs</t>
  </si>
  <si>
    <t>After Cost Escalation</t>
  </si>
  <si>
    <t>Maintenance and Minor Repairs</t>
  </si>
  <si>
    <t>Administrative and General</t>
  </si>
  <si>
    <t>Asset Management</t>
  </si>
  <si>
    <t>Property Taxes</t>
  </si>
  <si>
    <t>Fixed O&amp;M Cost Components</t>
  </si>
  <si>
    <t>Total Fixed O&amp;M Cost</t>
  </si>
  <si>
    <t xml:space="preserve">Figure </t>
  </si>
  <si>
    <t>A</t>
  </si>
  <si>
    <t xml:space="preserve">Table </t>
  </si>
  <si>
    <t>Report Tables</t>
  </si>
  <si>
    <t xml:space="preserve"> </t>
  </si>
  <si>
    <t>Table of Contents</t>
  </si>
  <si>
    <t>C</t>
  </si>
  <si>
    <t>Main Analysis</t>
  </si>
  <si>
    <t>Supporting Analysis</t>
  </si>
  <si>
    <t>Cash Flows</t>
  </si>
  <si>
    <t>Construction Costs</t>
  </si>
  <si>
    <t>Annual Fixed Operations and Maintenance Costs</t>
  </si>
  <si>
    <t>T</t>
  </si>
  <si>
    <t>F</t>
  </si>
  <si>
    <t>Tax Depreciation for Property</t>
  </si>
  <si>
    <t>Lookup 1</t>
  </si>
  <si>
    <t>Lookup 2</t>
  </si>
  <si>
    <t>Fixed O&amp;M Costs, No Augmentation</t>
  </si>
  <si>
    <t>Debt Balance</t>
  </si>
  <si>
    <t>Interest Payments</t>
  </si>
  <si>
    <t>CHECK - Total Payments to Debt &amp; Equity Holders</t>
  </si>
  <si>
    <t>Equity Fraction</t>
  </si>
  <si>
    <t>Net Income Tax</t>
  </si>
  <si>
    <t>ROE Payments</t>
  </si>
  <si>
    <t>Discretionary Cash</t>
  </si>
  <si>
    <t>Principal Repayment</t>
  </si>
  <si>
    <t>Total Payments to Debt Holders</t>
  </si>
  <si>
    <t>Net Present Value Discounted at Debt Rate</t>
  </si>
  <si>
    <t>Discretionary Cash by Year</t>
  </si>
  <si>
    <t>Taxable Income</t>
  </si>
  <si>
    <t>Payments to Debt Holders Recover Principal?</t>
  </si>
  <si>
    <t>Equity Balance</t>
  </si>
  <si>
    <t>Dividend Payments</t>
  </si>
  <si>
    <t>Total Payments to Equity Holders</t>
  </si>
  <si>
    <t>Net Present Value Discounted at Equity Rate</t>
  </si>
  <si>
    <t>Payments to Equity Holders Recover Dividend?</t>
  </si>
  <si>
    <t>Cost of New Entry</t>
  </si>
  <si>
    <t>Levelized Augmentation Costs ($/kW-yr)</t>
  </si>
  <si>
    <t>Total Levelized Fixed Costs ($/kW-yr)</t>
  </si>
  <si>
    <t>BESS Equipment</t>
  </si>
  <si>
    <t>Overnight Capital Costs ($million)</t>
  </si>
  <si>
    <t>First Year FOM</t>
  </si>
  <si>
    <t>LTSA Fixed Payments</t>
  </si>
  <si>
    <t>Firm Gas Contract</t>
  </si>
  <si>
    <t xml:space="preserve">     Major Maintenance - Hours Based</t>
  </si>
  <si>
    <t xml:space="preserve">     Consumables, Waste Disposal, Other VOM</t>
  </si>
  <si>
    <t>Levelized FOM</t>
  </si>
  <si>
    <t>Levelized CONE</t>
  </si>
  <si>
    <t>Unit</t>
  </si>
  <si>
    <t>Technical Assumptions</t>
  </si>
  <si>
    <t>Major Maintenance - Hours Based</t>
  </si>
  <si>
    <t>Total Fixed O&amp;M Cost, No Augmentation</t>
  </si>
  <si>
    <t>Unit Fixed O&amp;M Cost, No Augmentation</t>
  </si>
  <si>
    <t>Risk Premium Adder</t>
  </si>
  <si>
    <t>Percentage Cost Assumptions</t>
  </si>
  <si>
    <t>Escalation Rates</t>
  </si>
  <si>
    <t>Dates</t>
  </si>
  <si>
    <t>Cost Estimate Date</t>
  </si>
  <si>
    <t>Mid-Point Construction Date</t>
  </si>
  <si>
    <t>Online Date</t>
  </si>
  <si>
    <t>Overnight Costs</t>
  </si>
  <si>
    <t>Total FOM</t>
  </si>
  <si>
    <t>Long-term Service Agreement (LTSA)</t>
  </si>
  <si>
    <t>Augmentation Details</t>
  </si>
  <si>
    <t>kWh</t>
  </si>
  <si>
    <t>Assumed Revenue Escalation Rate</t>
  </si>
  <si>
    <t>Inflation Forecast</t>
  </si>
  <si>
    <t>BESS Augmentation Cost Calculation</t>
  </si>
  <si>
    <t>BESS Augmentation Cost Trends</t>
  </si>
  <si>
    <t>Month</t>
  </si>
  <si>
    <t>Capital Charge Rate</t>
  </si>
  <si>
    <t>Levelized Capital Cost</t>
  </si>
  <si>
    <t>Capital Costs</t>
  </si>
  <si>
    <t>Levelized Augmentation</t>
  </si>
  <si>
    <t>Observations</t>
  </si>
  <si>
    <t>Corporate Income Tax Rate, Federal</t>
  </si>
  <si>
    <t>Corporate Income Tax Rate, State</t>
  </si>
  <si>
    <t>Augmentation Costs</t>
  </si>
  <si>
    <t>Investment Tax Credit</t>
  </si>
  <si>
    <t>Non-Depreciable Cost</t>
  </si>
  <si>
    <t>Non-Depreciable Assets</t>
  </si>
  <si>
    <t>Year for Annual FOM Cost</t>
  </si>
  <si>
    <t>Overall Cost</t>
  </si>
  <si>
    <t>CONE Calculations</t>
  </si>
  <si>
    <t>Present 
Value</t>
  </si>
  <si>
    <t>EOY 0</t>
  </si>
  <si>
    <t>MOY 1</t>
  </si>
  <si>
    <t>Revenue Escalation Rate</t>
  </si>
  <si>
    <t>Model Outputs</t>
  </si>
  <si>
    <t>Unit Overnight Cost</t>
  </si>
  <si>
    <t>Financial Assumptions</t>
  </si>
  <si>
    <t>% of Overnight Capital Cost</t>
  </si>
  <si>
    <t>Depreciable Basis</t>
  </si>
  <si>
    <t>(-) Tax Credit</t>
  </si>
  <si>
    <t>Reduction in Depreciable Basis from ITC</t>
  </si>
  <si>
    <t>Gross Income Tax</t>
  </si>
  <si>
    <t>Overnight Capital Cost subject to ITC</t>
  </si>
  <si>
    <t>First Year Tax Credit from ITC</t>
  </si>
  <si>
    <t>Impact of Investment Tax Credit on Depreciable Basis</t>
  </si>
  <si>
    <t>Tax Credit and Depreciable Basis Reduction from ITC</t>
  </si>
  <si>
    <t>Nominal$</t>
  </si>
  <si>
    <t>Nominal$/kW</t>
  </si>
  <si>
    <t xml:space="preserve">Unit Depreciable Cost </t>
  </si>
  <si>
    <t>Nominal $ million</t>
  </si>
  <si>
    <t>Nominal $/kW</t>
  </si>
  <si>
    <t>Nominal $/kW-yr</t>
  </si>
  <si>
    <t>Nominal $ million/yr</t>
  </si>
  <si>
    <t>Total Variable O&amp;M ($/MWh)</t>
  </si>
  <si>
    <t>Intermediate</t>
  </si>
  <si>
    <t>B</t>
  </si>
  <si>
    <t>Lookup</t>
  </si>
  <si>
    <t>ATWACC Components</t>
  </si>
  <si>
    <t>Inflation</t>
  </si>
  <si>
    <t>Depreciation</t>
  </si>
  <si>
    <t>Cover Page</t>
  </si>
  <si>
    <t>Disclaimer</t>
  </si>
  <si>
    <t>Subject to the Disclaimer on the Cover Sheet.</t>
  </si>
  <si>
    <t>CONE Model Read Me</t>
  </si>
  <si>
    <t>Model Description</t>
  </si>
  <si>
    <t>Model Layout and Usage</t>
  </si>
  <si>
    <t>Control Tab Layout</t>
  </si>
  <si>
    <t>Cost Buildup Tables</t>
  </si>
  <si>
    <t>CT</t>
  </si>
  <si>
    <t>BESS</t>
  </si>
  <si>
    <t>CC</t>
  </si>
  <si>
    <t>CC Operations and Maintenance Cost Escalation</t>
  </si>
  <si>
    <t>CC Capital Cost Escalation</t>
  </si>
  <si>
    <t>Capital Drawdown Schedule</t>
  </si>
  <si>
    <t>CONE Area</t>
  </si>
  <si>
    <t>EMAAC</t>
  </si>
  <si>
    <t>SWMAAC</t>
  </si>
  <si>
    <t>Rest of RTO</t>
  </si>
  <si>
    <t>WMAAC</t>
  </si>
  <si>
    <t>BESS Operations and Maintenance Cost Escalation</t>
  </si>
  <si>
    <t>BESS Capital Cost Escalation</t>
  </si>
  <si>
    <t>BESS Cost Assumptions</t>
  </si>
  <si>
    <t>BESS Capital Costs</t>
  </si>
  <si>
    <t>BESS Operations and Maintenance Costs</t>
  </si>
  <si>
    <t>Overnight Capital Cost for 4-hour BESS, Moderate Case</t>
  </si>
  <si>
    <t>CONE AREA</t>
  </si>
  <si>
    <t>COMED</t>
  </si>
  <si>
    <t>CT Operations and Maintenance Cost Escalation</t>
  </si>
  <si>
    <t>CT Capital Cost Escalation</t>
  </si>
  <si>
    <t>$m</t>
  </si>
  <si>
    <t>(+) Operating Costs</t>
  </si>
  <si>
    <t>Results by CONE Area</t>
  </si>
  <si>
    <t>See Notes</t>
  </si>
  <si>
    <t>Real Property Tax</t>
  </si>
  <si>
    <t>Personal Property Tax</t>
  </si>
  <si>
    <t>Nominal Tax Rate</t>
  </si>
  <si>
    <t>Assessment Ratio</t>
  </si>
  <si>
    <t>Effective Tax Rate</t>
  </si>
  <si>
    <t>New Jersey</t>
  </si>
  <si>
    <t>Gloucester</t>
  </si>
  <si>
    <t>Camden</t>
  </si>
  <si>
    <t>Maryland</t>
  </si>
  <si>
    <t>Charles</t>
  </si>
  <si>
    <t>Prince George's</t>
  </si>
  <si>
    <t>Ohio</t>
  </si>
  <si>
    <t>Trumbull</t>
  </si>
  <si>
    <t>Carroll</t>
  </si>
  <si>
    <t>Lawrence</t>
  </si>
  <si>
    <t>Pennsylvania</t>
  </si>
  <si>
    <t>Luzerne</t>
  </si>
  <si>
    <t>Lycoming</t>
  </si>
  <si>
    <t>Bradford</t>
  </si>
  <si>
    <t>Illinois</t>
  </si>
  <si>
    <t>n/a</t>
  </si>
  <si>
    <t>Item</t>
  </si>
  <si>
    <t>Personal Property Depreciation</t>
  </si>
  <si>
    <t>Depreciation Floor</t>
  </si>
  <si>
    <t>Property Tax Rates</t>
  </si>
  <si>
    <t>[C]</t>
  </si>
  <si>
    <t>[F]</t>
  </si>
  <si>
    <t>[G]</t>
  </si>
  <si>
    <t>Depreciation Rate</t>
  </si>
  <si>
    <t>[H]</t>
  </si>
  <si>
    <t>Property Tax Applicability</t>
  </si>
  <si>
    <t>Real</t>
  </si>
  <si>
    <t>Personal</t>
  </si>
  <si>
    <t>RTO- OH</t>
  </si>
  <si>
    <t>RTO- PA</t>
  </si>
  <si>
    <t>Data</t>
  </si>
  <si>
    <t>Will</t>
  </si>
  <si>
    <t>Effective Personal Tax Rate</t>
  </si>
  <si>
    <t>Effective Real Tax Rate</t>
  </si>
  <si>
    <t>count</t>
  </si>
  <si>
    <t>$32,885 to $127,660</t>
  </si>
  <si>
    <t>$93,174 to $127,500</t>
  </si>
  <si>
    <t>$2,943 to $125,294</t>
  </si>
  <si>
    <t>$55,000 to $124,409</t>
  </si>
  <si>
    <t>$27,518 to $283,902</t>
  </si>
  <si>
    <t>Range of Prices</t>
  </si>
  <si>
    <t>Average Price</t>
  </si>
  <si>
    <t>After-Tax WACC</t>
  </si>
  <si>
    <t>Frame-Type 
Combustion Turbine</t>
  </si>
  <si>
    <t>Combined Cycle 
Gas Turbine</t>
  </si>
  <si>
    <t>BESS 4-Hour 200 MW</t>
  </si>
  <si>
    <t>Assumptions</t>
  </si>
  <si>
    <t>Lithium-Ion 4-hour Batteries</t>
  </si>
  <si>
    <t>Plant Characteristics</t>
  </si>
  <si>
    <t>Chemistry</t>
  </si>
  <si>
    <t>--</t>
  </si>
  <si>
    <t>Lithium-Ion</t>
  </si>
  <si>
    <t>Rated Output Power (POI Rating)</t>
  </si>
  <si>
    <t>Storage Duration</t>
  </si>
  <si>
    <t>hours</t>
  </si>
  <si>
    <t>Gross MWh Overbuild</t>
  </si>
  <si>
    <t xml:space="preserve">Equivalent Forced Outage Rate - Demand Based </t>
  </si>
  <si>
    <t>EFORd</t>
  </si>
  <si>
    <t>Included</t>
  </si>
  <si>
    <t>% of BESS Equipment Costs</t>
  </si>
  <si>
    <t>Construction Debt Financing</t>
  </si>
  <si>
    <t>2024$m</t>
  </si>
  <si>
    <t>Per kW cost</t>
  </si>
  <si>
    <t>2024$/kW</t>
  </si>
  <si>
    <t>Substation</t>
  </si>
  <si>
    <t xml:space="preserve">Land Purchase Cost </t>
  </si>
  <si>
    <t>$/acre</t>
  </si>
  <si>
    <t>Sales Tax Rates</t>
  </si>
  <si>
    <t>State Income Tax Rates</t>
  </si>
  <si>
    <t>Depreciation Schedule</t>
  </si>
  <si>
    <t>Values estimated by S&amp;L</t>
  </si>
  <si>
    <t>Calculated by % of other costs based on values in the Cost Assumptions tab.</t>
  </si>
  <si>
    <t>Values estimated by Brattle</t>
  </si>
  <si>
    <r>
      <t>Annual Real Escalation Rate</t>
    </r>
    <r>
      <rPr>
        <b/>
        <vertAlign val="subscript"/>
        <sz val="11"/>
        <rFont val="Calibri"/>
        <family val="2"/>
        <scheme val="minor"/>
      </rPr>
      <t>1</t>
    </r>
  </si>
  <si>
    <t>(%/yr)</t>
  </si>
  <si>
    <t>Plant Nameplate Power (MW)</t>
  </si>
  <si>
    <t>Initial Overbuild (%)</t>
  </si>
  <si>
    <r>
      <t>Gross Plant Capacity Installed (MWh</t>
    </r>
    <r>
      <rPr>
        <b/>
        <sz val="8"/>
        <rFont val="Calibri"/>
        <family val="2"/>
        <scheme val="minor"/>
      </rPr>
      <t>DC</t>
    </r>
    <r>
      <rPr>
        <b/>
        <sz val="11"/>
        <rFont val="Calibri"/>
        <family val="2"/>
        <scheme val="minor"/>
      </rPr>
      <t>)</t>
    </r>
  </si>
  <si>
    <r>
      <t>Gross BOL Capacity at POI (MWh</t>
    </r>
    <r>
      <rPr>
        <b/>
        <sz val="8"/>
        <rFont val="Calibri"/>
        <family val="2"/>
        <scheme val="minor"/>
      </rPr>
      <t>AC</t>
    </r>
    <r>
      <rPr>
        <b/>
        <sz val="11"/>
        <rFont val="Calibri"/>
        <family val="2"/>
        <scheme val="minor"/>
      </rPr>
      <t>)</t>
    </r>
  </si>
  <si>
    <t>Project Costs</t>
  </si>
  <si>
    <t>BESS Equipment Subtotal</t>
  </si>
  <si>
    <t>Project Management</t>
  </si>
  <si>
    <t>Construction &amp; Materials</t>
  </si>
  <si>
    <t>Spare Parts Inventories</t>
  </si>
  <si>
    <t>Overnight Capital Costs ($)</t>
  </si>
  <si>
    <t>Battery Energy Capital Costs ($/kWh)</t>
  </si>
  <si>
    <t>Battery Power Capacity Costs ($/kW)</t>
  </si>
  <si>
    <t>Fixed O&amp;M</t>
  </si>
  <si>
    <t>O&amp;M Contract Fixed Payments</t>
  </si>
  <si>
    <t>BOP and Substation O&amp;M</t>
  </si>
  <si>
    <t>Station Load / Aux Load</t>
  </si>
  <si>
    <t>Miscellaneous Owner Costs</t>
  </si>
  <si>
    <t xml:space="preserve">Operating Insurance  </t>
  </si>
  <si>
    <t>Land Lease or Property Taxes</t>
  </si>
  <si>
    <t>Fixed O&amp;M ($/kWh-yr)</t>
  </si>
  <si>
    <t>Fixed O&amp;M ($/kW-yr)</t>
  </si>
  <si>
    <t>Variable O&amp;M</t>
  </si>
  <si>
    <t>Included in FOM Above (Assumes 1 Cycle/Day)</t>
  </si>
  <si>
    <t>3. Misc. Owner Costs may include but are not limited to maintenance and repair of interconnecting facilities, environmental compliance and monitoring, possessory interest tax, asset management, and owner administration, fees and taxes (not including tangible property taxes)</t>
  </si>
  <si>
    <t>5. Costs are assumed to be for IPP installation not owned by a Utility, lower fire protection requirements and associated O&amp;M</t>
  </si>
  <si>
    <t>BESS Augmentation Costs</t>
  </si>
  <si>
    <t>% Monthly</t>
  </si>
  <si>
    <t>7-year MACRS</t>
  </si>
  <si>
    <t>Annual Real Escalation Rate</t>
  </si>
  <si>
    <t>Combined Cycle 
Dry ACC</t>
  </si>
  <si>
    <t>Plant Capacity (MW)</t>
  </si>
  <si>
    <t>Owner Furnished Equipment</t>
  </si>
  <si>
    <t>Gas Turbines</t>
  </si>
  <si>
    <t>HRSG / SCR</t>
  </si>
  <si>
    <t>Steam Turbines</t>
  </si>
  <si>
    <t>Total Owner Furnished Equipment</t>
  </si>
  <si>
    <t>Condenser</t>
  </si>
  <si>
    <t>Equipment Subtotal</t>
  </si>
  <si>
    <t>Total Project Costs</t>
  </si>
  <si>
    <t>Emission Reduction Credits</t>
  </si>
  <si>
    <t xml:space="preserve">     Major Maintenance - LTSA Fixed Payments</t>
  </si>
  <si>
    <t xml:space="preserve">     Labor </t>
  </si>
  <si>
    <t xml:space="preserve">     Maintenance, Supplies, and Minor Repairs</t>
  </si>
  <si>
    <t xml:space="preserve">     Administrative and General</t>
  </si>
  <si>
    <t xml:space="preserve">     Asset Management</t>
  </si>
  <si>
    <t xml:space="preserve">     Insurance  </t>
  </si>
  <si>
    <t xml:space="preserve">     Property Taxes</t>
  </si>
  <si>
    <t xml:space="preserve">  Firm Gas Contract</t>
  </si>
  <si>
    <t>Major Maintenance - (Hours Based)*</t>
  </si>
  <si>
    <t xml:space="preserve">     Consumables, Waste Disposal, and Other VOM</t>
  </si>
  <si>
    <t>Variable O&amp;M Total - If Hours Based ($/MWh)</t>
  </si>
  <si>
    <t>CT Major Maintenance - Starts Based ($/factored start, per turbine)**</t>
  </si>
  <si>
    <t>*CT Major Maintenance (hours based) - Applicable to combined cycles only. Combined cycle operating profile is assumed to be a base loaded unit.</t>
  </si>
  <si>
    <t>**CT Major Maintenance (starts based) - Applicable to simple cycles only. Simple cycle operating profile is assumed to be a peaker unit.</t>
  </si>
  <si>
    <t>Net Plant Capacity without Duct Firing</t>
  </si>
  <si>
    <t>Net Plant Capacity - Max Summer</t>
  </si>
  <si>
    <t>Net Plant Capacity - Average (ISO)</t>
  </si>
  <si>
    <t>Net Plant Capacity with Duct Firing</t>
  </si>
  <si>
    <t>Net Plant Heat Rate without Duct Firing</t>
  </si>
  <si>
    <t>Net Plant Heat Rate - Max Summer</t>
  </si>
  <si>
    <t>Btu/kWh, HHV</t>
  </si>
  <si>
    <t>Net Plant Heat Rate with Duct Firing</t>
  </si>
  <si>
    <t>Start-Up Time *</t>
  </si>
  <si>
    <t>minutes</t>
  </si>
  <si>
    <t>Start-Up Fuel Consumption *</t>
  </si>
  <si>
    <t>mmBtu/start</t>
  </si>
  <si>
    <t>% of other Owner's costs</t>
  </si>
  <si>
    <t>Pipeline Cost</t>
  </si>
  <si>
    <t>Miles</t>
  </si>
  <si>
    <t>Fuel Oil Inventory Cost</t>
  </si>
  <si>
    <t>Capacity Factor for Inventory Days</t>
  </si>
  <si>
    <t>Fuel Oil Price</t>
  </si>
  <si>
    <t>Fuel Oil Heating Value</t>
  </si>
  <si>
    <t>Btu/gallon</t>
  </si>
  <si>
    <t>gallons</t>
  </si>
  <si>
    <t>$/gallon</t>
  </si>
  <si>
    <t>Natural Gas Consumed During Start*</t>
  </si>
  <si>
    <t>mmBtu/start, per Unit</t>
  </si>
  <si>
    <t>*Simple Cycle Start: Simple cycle start assumes conventional cold start of the CTG with purge credit.</t>
  </si>
  <si>
    <t>** Combined Cycle Start: Combined cycle start assumes a warm start, with purge credit, and ramping of the combustion turbines to minimum emission compliant load before loading the steam turbine (rapid response lite start).</t>
  </si>
  <si>
    <t>Gas Testing</t>
  </si>
  <si>
    <t>Fuel Use</t>
  </si>
  <si>
    <t>mmBtu</t>
  </si>
  <si>
    <t>Startup Days</t>
  </si>
  <si>
    <t>full-load days</t>
  </si>
  <si>
    <t>Fuel Oil Testing</t>
  </si>
  <si>
    <t>Energy Revenue Credit</t>
  </si>
  <si>
    <t>Energy Production</t>
  </si>
  <si>
    <t>% of Project costs</t>
  </si>
  <si>
    <t>Major Maintenance - Starts Based</t>
  </si>
  <si>
    <t>CC + CT Cost Assumptions</t>
  </si>
  <si>
    <t>CC + CT Capital Costs</t>
  </si>
  <si>
    <t>CC + CT Operations and Maintenance Costs</t>
  </si>
  <si>
    <t>Optional Augmentation to Maintain Nameplate over 20 Years</t>
  </si>
  <si>
    <t>% of Non-EPC Costs</t>
  </si>
  <si>
    <t>Overnight Capital Cost</t>
  </si>
  <si>
    <t>Year 1 Capital Recovery</t>
  </si>
  <si>
    <t>ELCC</t>
  </si>
  <si>
    <t>Nominal $/MW-day</t>
  </si>
  <si>
    <t>$/MW-day</t>
  </si>
  <si>
    <t>OFE + EPC Costs</t>
  </si>
  <si>
    <t>Net Summer Capacity</t>
  </si>
  <si>
    <t>$/kW-yr</t>
  </si>
  <si>
    <t>Firm Gas (CC only)</t>
  </si>
  <si>
    <t>Representative State</t>
  </si>
  <si>
    <t>VOM</t>
  </si>
  <si>
    <t>Total Fixed First Year O&amp;M ($ million/year)</t>
  </si>
  <si>
    <t>FOM (excl. firm gas, augmentation, property tax, and working capital)</t>
  </si>
  <si>
    <t>Cumulative Inflation Multiplier</t>
  </si>
  <si>
    <t>Sales and Use Tax Rate, State</t>
  </si>
  <si>
    <t>Working Capital and Tax Rates</t>
  </si>
  <si>
    <t>Subject to Disclaimer on the Cover Sheet.</t>
  </si>
  <si>
    <t>Annual Property Tax Costs</t>
  </si>
  <si>
    <t>SWMAAC Real</t>
  </si>
  <si>
    <t>SWMAAC Personal</t>
  </si>
  <si>
    <t>Nominal ATWACC</t>
  </si>
  <si>
    <t>Installed Capital Cost</t>
  </si>
  <si>
    <t>Augmentation Switch (BESS Only)</t>
  </si>
  <si>
    <t>Annual Inflation</t>
  </si>
  <si>
    <t>Months to Lock-In Equipment Costs</t>
  </si>
  <si>
    <t>x</t>
  </si>
  <si>
    <t>%/year</t>
  </si>
  <si>
    <t>Equivalent Monthly Inflation Rate</t>
  </si>
  <si>
    <t>To Mid-Point Construction Date</t>
  </si>
  <si>
    <t>To Online Date</t>
  </si>
  <si>
    <t>To Equipment Price Lock-In Date</t>
  </si>
  <si>
    <t>Escalation Rate from Cost Estimate Date to Online Date</t>
  </si>
  <si>
    <t>Forecasted Yearly Inflation Rate</t>
  </si>
  <si>
    <t>Construction Start Date</t>
  </si>
  <si>
    <t>Construction Mid-Point</t>
  </si>
  <si>
    <t>2025$m</t>
  </si>
  <si>
    <t>2025$/kW</t>
  </si>
  <si>
    <t>2025$m/mile</t>
  </si>
  <si>
    <t>Reference Year O&amp;M Costs (2025$)</t>
  </si>
  <si>
    <t>1. Overnight capital costs do not include escalation, IDC, AFUDC and should not be directly compared to market prices without adjustments for these exclusions.</t>
  </si>
  <si>
    <t>c</t>
  </si>
  <si>
    <t>Years of Operation</t>
  </si>
  <si>
    <t>Initial Installation</t>
  </si>
  <si>
    <t>1st Augmentation</t>
  </si>
  <si>
    <t>2nd Augmentation</t>
  </si>
  <si>
    <t>3rd Augmentation</t>
  </si>
  <si>
    <t>4th Augmentation</t>
  </si>
  <si>
    <t>5th Augmentation</t>
  </si>
  <si>
    <t>Gross Capacity at POI</t>
  </si>
  <si>
    <t>Online Year</t>
  </si>
  <si>
    <t>First Augmentation Year</t>
  </si>
  <si>
    <t>Augmentation Frequency after First Year</t>
  </si>
  <si>
    <t>CONE With Augmentation (BESS Only)</t>
  </si>
  <si>
    <t>CONE Without Augmentation (BESS Only)</t>
  </si>
  <si>
    <t>Levelized Augmentation Cost</t>
  </si>
  <si>
    <t>Base Year for Augmentation Index</t>
  </si>
  <si>
    <t>Total Cost Escalation Rate</t>
  </si>
  <si>
    <t>Year of Operation</t>
  </si>
  <si>
    <t>Augmentation Cost</t>
  </si>
  <si>
    <t>Augmentation Size</t>
  </si>
  <si>
    <t>Cumulative Inflation Rates by Month</t>
  </si>
  <si>
    <t>Adjusted Empirical Net CONE 14/15 to 22/23</t>
  </si>
  <si>
    <t>Total Escalation</t>
  </si>
  <si>
    <t>SCR</t>
  </si>
  <si>
    <r>
      <t xml:space="preserve">Fixed O&amp;M </t>
    </r>
    <r>
      <rPr>
        <b/>
        <u/>
        <sz val="11"/>
        <color theme="0"/>
        <rFont val="Calibri"/>
        <family val="2"/>
        <scheme val="minor"/>
      </rPr>
      <t>($ million)</t>
    </r>
  </si>
  <si>
    <t>NREL ATB Curve First Year of Real Decline</t>
  </si>
  <si>
    <t>BESS-Specific Assumptions</t>
  </si>
  <si>
    <t>Monthly Inflation Multiplier</t>
  </si>
  <si>
    <t>Escalation Factors from Cost Estimate Date</t>
  </si>
  <si>
    <t>Real Cost Escalation for BESS Components</t>
  </si>
  <si>
    <t>Cumulative Inflation Calculation</t>
  </si>
  <si>
    <t>Cumulative Inflation Rate from Cost Estimate to Start of Month</t>
  </si>
  <si>
    <t>First-Year Fixed O&amp;M ($million/year)</t>
  </si>
  <si>
    <r>
      <t xml:space="preserve">First-Year Fixed O&amp;M </t>
    </r>
    <r>
      <rPr>
        <b/>
        <u/>
        <sz val="11"/>
        <rFont val="Calibri"/>
        <family val="2"/>
        <scheme val="minor"/>
      </rPr>
      <t>($/kW-yr)</t>
    </r>
  </si>
  <si>
    <r>
      <rPr>
        <b/>
        <u/>
        <sz val="11"/>
        <rFont val="Calibri"/>
        <family val="2"/>
        <scheme val="minor"/>
      </rPr>
      <t>Levelized</t>
    </r>
    <r>
      <rPr>
        <b/>
        <sz val="11"/>
        <rFont val="Calibri"/>
        <family val="2"/>
        <scheme val="minor"/>
      </rPr>
      <t xml:space="preserve"> Fixed O&amp;M ($/kW-yr)</t>
    </r>
  </si>
  <si>
    <t>Levelized O&amp;M + Augmentation</t>
  </si>
  <si>
    <t>Total Overnight Capital Costs</t>
  </si>
  <si>
    <r>
      <t>Total Fixed First Year O&amp;M (</t>
    </r>
    <r>
      <rPr>
        <b/>
        <u/>
        <sz val="11"/>
        <rFont val="Calibri"/>
        <family val="2"/>
        <scheme val="minor"/>
      </rPr>
      <t>$/kW-yr</t>
    </r>
    <r>
      <rPr>
        <b/>
        <sz val="11"/>
        <rFont val="Calibri"/>
        <family val="2"/>
        <scheme val="minor"/>
      </rPr>
      <t>)</t>
    </r>
  </si>
  <si>
    <r>
      <t xml:space="preserve">Fixed First Year O&amp;M </t>
    </r>
    <r>
      <rPr>
        <b/>
        <u/>
        <sz val="11"/>
        <color theme="0"/>
        <rFont val="Calibri"/>
        <family val="2"/>
        <scheme val="minor"/>
      </rPr>
      <t>($ million/year)</t>
    </r>
  </si>
  <si>
    <t>First Year 
Revenue Req.</t>
  </si>
  <si>
    <t>Reference Year Overnight Costs (2025$)</t>
  </si>
  <si>
    <r>
      <t>Reference Year Overnight Costs (2025$)</t>
    </r>
    <r>
      <rPr>
        <b/>
        <vertAlign val="superscript"/>
        <sz val="11"/>
        <rFont val="Calibri"/>
        <family val="2"/>
        <scheme val="minor"/>
      </rPr>
      <t>1</t>
    </r>
  </si>
  <si>
    <t>First Year BESS Augmentation Costs</t>
  </si>
  <si>
    <t>2028$</t>
  </si>
  <si>
    <t>2028$/mmBtu</t>
  </si>
  <si>
    <r>
      <t xml:space="preserve">Capital Costs </t>
    </r>
    <r>
      <rPr>
        <b/>
        <u/>
        <sz val="11"/>
        <rFont val="Calibri"/>
        <family val="2"/>
        <scheme val="minor"/>
      </rPr>
      <t>(in $millions)</t>
    </r>
  </si>
  <si>
    <t>Major Maintenance - Starts Based ($/Start)</t>
  </si>
  <si>
    <t>Consumables, Waste Disposal, Other VOM ($/MWh)</t>
  </si>
  <si>
    <r>
      <t xml:space="preserve">Variable O&amp;M </t>
    </r>
    <r>
      <rPr>
        <b/>
        <u/>
        <sz val="11"/>
        <color theme="0"/>
        <rFont val="Calibri"/>
        <family val="2"/>
        <scheme val="minor"/>
      </rPr>
      <t>($/MWh)</t>
    </r>
  </si>
  <si>
    <t>Cumulative Inflation to Equipment Price Lock-In Date</t>
  </si>
  <si>
    <t>Cumulative Inflation to Mid-Point Construction Date</t>
  </si>
  <si>
    <t>Cumulative Inflation to Online Date</t>
  </si>
  <si>
    <t>NREL ATB Cost Escalation to Equipment Lock-In Date</t>
  </si>
  <si>
    <t>Mid-Period Month</t>
  </si>
  <si>
    <t>Nominal$/kW-yr</t>
  </si>
  <si>
    <r>
      <t xml:space="preserve">Overnight Capital Costs </t>
    </r>
    <r>
      <rPr>
        <b/>
        <u/>
        <sz val="11"/>
        <rFont val="Calibri"/>
        <family val="2"/>
        <scheme val="minor"/>
      </rPr>
      <t>($/kW)</t>
    </r>
  </si>
  <si>
    <t>%/yr</t>
  </si>
  <si>
    <t>Initial Size</t>
  </si>
  <si>
    <t>2025$</t>
  </si>
  <si>
    <t>2025$/kWh</t>
  </si>
  <si>
    <t>Augmentation Costs per kWh</t>
  </si>
  <si>
    <t>Notes:</t>
  </si>
  <si>
    <t>Augmentation costs include an assumed real cost decline.</t>
  </si>
  <si>
    <t>Escalation Date</t>
  </si>
  <si>
    <t>Equipment Lock-In</t>
  </si>
  <si>
    <t>Tax Rates</t>
  </si>
  <si>
    <t xml:space="preserve">Plant Characteristics </t>
  </si>
  <si>
    <t>Techology</t>
  </si>
  <si>
    <t>Rest of RTO Avg.</t>
  </si>
  <si>
    <t>Real Property Value</t>
  </si>
  <si>
    <t>Personal Property Value</t>
  </si>
  <si>
    <t>Tax Details</t>
  </si>
  <si>
    <t>% of all other Project costs</t>
  </si>
  <si>
    <t>% of all other Non-EPC Costs</t>
  </si>
  <si>
    <t>Overnight
Capital Cost</t>
  </si>
  <si>
    <t>Capital
Charge Rate</t>
  </si>
  <si>
    <t>Levelized
Fixed O&amp;M</t>
  </si>
  <si>
    <t>Gross CONE
ICAP</t>
  </si>
  <si>
    <t>E&amp;AS
Offset</t>
  </si>
  <si>
    <t>Net CONE
ICAP</t>
  </si>
  <si>
    <t>Net CONE
UCAP</t>
  </si>
  <si>
    <t>CC and CT with 2022 OCC calculated by adjusting PJM Quad V Affidavit values by inflation and including incremental costs for a dual-fuel unit for the CT based on S&amp;L's updated estimates.</t>
  </si>
  <si>
    <t>Fuel Oil Inventory (3 days)</t>
  </si>
  <si>
    <t>Num of Years</t>
  </si>
  <si>
    <t>^ Goal Seek</t>
  </si>
  <si>
    <t>^ Output</t>
  </si>
  <si>
    <t>Model Tech</t>
  </si>
  <si>
    <t>Reservation Price Analysis Results</t>
  </si>
  <si>
    <t>1. All operating costs have been allocated to the Fixed O&amp;M cost with noted exclusions.</t>
  </si>
  <si>
    <t>2. No augmentation has been included in the Fixed O&amp;M costs</t>
  </si>
  <si>
    <t>4. No charging costs have been included. Station Load / Aux Load costs represent additional station energy costs outside of charging and round-trip battery losses.</t>
  </si>
  <si>
    <t>Monthly Inflation</t>
  </si>
  <si>
    <t>Economic Life Override</t>
  </si>
  <si>
    <t>Equipment Contract Lock-In Date</t>
  </si>
  <si>
    <r>
      <t>Installed Cost (</t>
    </r>
    <r>
      <rPr>
        <b/>
        <u/>
        <sz val="11"/>
        <rFont val="Calibri"/>
        <family val="2"/>
        <scheme val="minor"/>
      </rPr>
      <t>$/kW</t>
    </r>
    <r>
      <rPr>
        <b/>
        <sz val="11"/>
        <rFont val="Calibri"/>
        <family val="2"/>
        <scheme val="minor"/>
      </rPr>
      <t>)</t>
    </r>
  </si>
  <si>
    <r>
      <t>Overnight Capital Costs (</t>
    </r>
    <r>
      <rPr>
        <b/>
        <u/>
        <sz val="11"/>
        <rFont val="Calibri"/>
        <family val="2"/>
        <scheme val="minor"/>
      </rPr>
      <t>$/kW</t>
    </r>
    <r>
      <rPr>
        <b/>
        <sz val="11"/>
        <rFont val="Calibri"/>
        <family val="2"/>
        <scheme val="minor"/>
      </rPr>
      <t>)</t>
    </r>
  </si>
  <si>
    <t>&lt;-- Set solve equal to inverse of this, by adjusting K61.</t>
  </si>
  <si>
    <t>BESS 4-hr, Without 30% ITC</t>
  </si>
  <si>
    <t xml:space="preserve">Gas CT </t>
  </si>
  <si>
    <t>Gas CC</t>
  </si>
  <si>
    <t>BESS 4-hr</t>
  </si>
  <si>
    <t>Other Benchmarks</t>
  </si>
  <si>
    <t>CC, 15-yr life</t>
  </si>
  <si>
    <t>Current Level-Nominal CONE with Forward EAS</t>
  </si>
  <si>
    <t>Indicative Net CONE and Other Benchmarks (RTO)</t>
  </si>
  <si>
    <t>Overnight Cost ($/kW)</t>
  </si>
  <si>
    <t>Levelized FOM ($/MW-day)</t>
  </si>
  <si>
    <t>1-yr</t>
  </si>
  <si>
    <t>3-yr</t>
  </si>
  <si>
    <t>5-yr</t>
  </si>
  <si>
    <t>(ICAP)</t>
  </si>
  <si>
    <t>(UCAP)</t>
  </si>
  <si>
    <t>Current Level-Nominal Net CONE</t>
  </si>
  <si>
    <t>Front Loaded CONE</t>
  </si>
  <si>
    <t>Current Level-Nominal CONE</t>
  </si>
  <si>
    <t>Short-Term Reservation Price</t>
  </si>
  <si>
    <t>CC 15-yr FOM&gt;&gt;</t>
  </si>
  <si>
    <t>Owner-Furnished Equipment (OFE)</t>
  </si>
  <si>
    <t>LTCT and Forward E&amp;AS</t>
  </si>
  <si>
    <t>LTCC and Forward E&amp;AS</t>
  </si>
  <si>
    <t>LTCT and 10-yr Avg. E&amp;AS</t>
  </si>
  <si>
    <t>LTCC and 10-yr Avg. E&amp;AS</t>
  </si>
  <si>
    <t xml:space="preserve">LTCC and Forward E&amp;AS, 15-yr life </t>
  </si>
  <si>
    <t>Long-run CONE</t>
  </si>
  <si>
    <t>Forward E&amp;AS</t>
  </si>
  <si>
    <t>Front-loaded CONE</t>
  </si>
  <si>
    <t>&lt;- must be "Rest of RTO"</t>
  </si>
  <si>
    <t>Interest on Working Capital</t>
  </si>
  <si>
    <t>Working Capital During Operation</t>
  </si>
  <si>
    <t>First Year Interest on Working Capital</t>
  </si>
  <si>
    <t>1. EMAAC</t>
  </si>
  <si>
    <t>2. SWMAAC</t>
  </si>
  <si>
    <t>3. Rest of RTO</t>
  </si>
  <si>
    <t>4. WMAAC</t>
  </si>
  <si>
    <t>5. COMED</t>
  </si>
  <si>
    <t>Engineering, Procurement, and Construction Costs (EPC)</t>
  </si>
  <si>
    <t>Engineering, Procurement, and Construction (EPC) Costs</t>
  </si>
  <si>
    <t>Engineering, Procurement and Construction (EPC)</t>
  </si>
  <si>
    <t>CONE by Technology and CONE Area</t>
  </si>
  <si>
    <t>Cash Flows for Reservation Price Analysis</t>
  </si>
  <si>
    <t>Property Tax Lookup</t>
  </si>
  <si>
    <t>Lookup 3</t>
  </si>
  <si>
    <t>Escalation Options</t>
  </si>
  <si>
    <t>% of all other costs</t>
  </si>
  <si>
    <t>% of all other Non-EPC costs</t>
  </si>
  <si>
    <t xml:space="preserve">2. Battery costs are inclusive of a 48.4% total tariff. This comprises 25% (Section 301 tariff), +3.4% duty, and +20% from the current administration in 2025 on imported batteries. </t>
  </si>
  <si>
    <r>
      <t>Batteries and Enclosures</t>
    </r>
    <r>
      <rPr>
        <vertAlign val="superscript"/>
        <sz val="11"/>
        <rFont val="Calibri"/>
        <family val="2"/>
        <scheme val="minor"/>
      </rPr>
      <t>2</t>
    </r>
  </si>
  <si>
    <t>Tariff Adjustment Factor for Batteries and Enclosures</t>
  </si>
  <si>
    <t>User Controls</t>
  </si>
  <si>
    <t>Calculated Inputs</t>
  </si>
  <si>
    <t>Switches</t>
  </si>
  <si>
    <t>Tax Depreciation Schedule Override</t>
  </si>
  <si>
    <t>BESS-Specific Inputs</t>
  </si>
  <si>
    <t>Depreciation Lookup</t>
  </si>
  <si>
    <t>Financial Inputs</t>
  </si>
  <si>
    <t>Reservation Price Analysis</t>
  </si>
  <si>
    <t>D</t>
  </si>
  <si>
    <t>All values are indicative and shown for RTO. See "Brattle 2025 CONE Report for PJM" for more details.</t>
  </si>
  <si>
    <t>See "Brattle 2025 CONE Report for PJM" for more details.</t>
  </si>
  <si>
    <t>This Model was prepared by Samuel A. Newell, Andrew W. Thompson, and Nathan Felmus (the “Authors”) for PJM Interconnection LLC. (PJM) for the purpose of analyzing of the Cost of New Entry (CONE) for a reference resource entering the PJM capacity market for a 2028/29 online date. The Model reflects the analyses and the work of the Authors and does not necessarily reflect those of The Brattle Group’s clients or other consultants. The Model was prepared with the standard of care normally exercised by professional consulting firms performing comparable services under similar conditions, judged as of the time the services are rendered. Any recipient of this Model must appreciate and understand that neither the Authors nor The Brattle Group make any guarantees or warranties, express or implied, regarding any particular outcome, estimations, or projections of current or future events, behaviors, costs, prices, or other market conditions. We do not make, nor intend to make, nor should you infer, any representation with respect to the magnitude or likelihood of any future outcome, and cannot, and do not, accept liability for losses suffered, whether direct or consequential, arising out of any reliance on our analysis, the Model, the results, or any modifications thereof. Further, while our work often assists clients in rendering informed decisions, it is not meant to be a substitute for the exercise of your own analyses and business judgment, or to be for the benefit of third parties with whom we have no direct relationship, nor should it be considered in any way to be investment advice.</t>
  </si>
  <si>
    <t>As shown in the [ToC] tab, the model has five main sections: ‘Report Tables’, ‘Reservation Price Analysis’, ‘Main Analysis’, ‘Supporting Analysis’ and ‘Data’. CONE is calculated in the ‘Main Analysis’ section, the Short-term Reservation Price is calculated in the ‘Reservation Price Analysis’ section,  while the ‘Supporting Analysis’ section is the buildup analyses for CONE. ‘Report Tables’ are the summary tables and the ‘Data’ section contains initial data sources. In the following sections we explain how users can modify the model inputs and data for additional analyses.</t>
  </si>
  <si>
    <t>Adjusted Empirical Net CONE for delivery years 2014/15 to 2022/23 calculated by adjusting historical BRA clearing prices for inflation and new UCAP/ELCC to yield $168/MW-day, then adjusting for ATWACC being ~1.5% higher than historical levels to yield $241/MW-day UCAP.</t>
  </si>
  <si>
    <t>Notes and Sources: See "Brattle 2025 CONE Report for PJM" for more details.</t>
  </si>
  <si>
    <t>Notes and Sources: Nominal$ for 2028/29 Delivery Year. See "Brattle 2025 CONE Report for PJM" for more details.</t>
  </si>
  <si>
    <t xml:space="preserve">This model calculates the Cost of New Entry (CONE) for a Gas-fired Combustion Turbine (CT), Gas-fired Combined-Cycle (CC), and Battery Energy Storage System (BESS) plants entering the PJM market with a June 1, 2028 Commercial Online Date (COD). CONE represents the levelized first-year net revenues a representative resource would need to be willing to enter the PJM market. The calculation of CONE incorporates relevant capital costs, fixed operations &amp; maintenance (O&amp;M) costs, taxes, tax credits, and depreciation. </t>
  </si>
  <si>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Economic Life</t>
    </r>
    <r>
      <rPr>
        <sz val="11"/>
        <color theme="1"/>
        <rFont val="Calibri"/>
        <family val="2"/>
        <scheme val="minor"/>
      </rPr>
      <t xml:space="preserve"> parameter can be adjusted to a shorter or longer life from a minimum of 10 years to a maximum of 25 years.</t>
    </r>
  </si>
  <si>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Tax Depreciation</t>
    </r>
    <r>
      <rPr>
        <sz val="11"/>
        <color theme="1"/>
        <rFont val="Calibri"/>
        <family val="2"/>
        <scheme val="minor"/>
      </rPr>
      <t xml:space="preserve"> parameter can be adjusted to the series of tax depreciation schedules included in the dropdown menu.</t>
    </r>
  </si>
  <si>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Online and Cost Estimate Dates</t>
    </r>
    <r>
      <rPr>
        <sz val="11"/>
        <color theme="1"/>
        <rFont val="Calibri"/>
        <family val="2"/>
        <scheme val="minor"/>
      </rPr>
      <t xml:space="preserve">  can be adjusted within the bounds specified in each cell. The cost estimates included in the model by default are as of January 1, 2025.</t>
    </r>
  </si>
  <si>
    <t xml:space="preserve">To adjust Overnight Cost and Fixed O&amp;M Costs, users can adjust the raw data contained in tables starting with "C." If using cost estimates from a different time than January 1, 2025 the “Cost Estimate Date” line item in the Control Table must also be updated accordingly. </t>
  </si>
  <si>
    <r>
      <t>·</t>
    </r>
    <r>
      <rPr>
        <sz val="11"/>
        <color rgb="FF2297AA"/>
        <rFont val="Times New Roman"/>
        <family val="1"/>
      </rPr>
      <t xml:space="preserve">       </t>
    </r>
    <r>
      <rPr>
        <sz val="11"/>
        <color theme="1"/>
        <rFont val="Calibri"/>
        <family val="2"/>
        <scheme val="minor"/>
      </rPr>
      <t>The</t>
    </r>
    <r>
      <rPr>
        <b/>
        <sz val="11"/>
        <color theme="1"/>
        <rFont val="Calibri"/>
        <family val="2"/>
        <scheme val="minor"/>
      </rPr>
      <t xml:space="preserve"> BESS-Specific Inputs </t>
    </r>
    <r>
      <rPr>
        <sz val="11"/>
        <color theme="1"/>
        <rFont val="Calibri"/>
        <family val="2"/>
        <scheme val="minor"/>
      </rPr>
      <t>can be used to simulate the effects of policy and market changes specific to the BESS CONE. More detailed instructions on these inputs are included in the corresponding notes on the control tab.</t>
    </r>
  </si>
  <si>
    <t>Illinois: Illinois General Assembly, 35 ILCS 105/305; MyTaxIllinois Tax Rate Finder for Will County.</t>
  </si>
  <si>
    <r>
      <t xml:space="preserve">·     </t>
    </r>
    <r>
      <rPr>
        <sz val="11"/>
        <rFont val="Calibri"/>
        <family val="2"/>
        <scheme val="minor"/>
      </rPr>
      <t>To adjust the After-Tax Weighted-Average Cost of Capital (</t>
    </r>
    <r>
      <rPr>
        <b/>
        <sz val="11"/>
        <rFont val="Calibri"/>
        <family val="2"/>
        <scheme val="minor"/>
      </rPr>
      <t>ATWACC</t>
    </r>
    <r>
      <rPr>
        <sz val="11"/>
        <rFont val="Calibri"/>
        <family val="2"/>
        <scheme val="minor"/>
      </rPr>
      <t>), a user can adjust any of the components (Risk Premium Adder, Debt Fraction, Debt Rate, Equity Rate, Federal Tax Rate or State Tax Rate) which will automatically update the ATWACC throughout the model. Note that only self-consistent ATWACC Components derived from the ATWACC Study are valid in the model, however the final ATWACC and the individual ATWACC components can be adjusted to explore CONE impacts.</t>
    </r>
  </si>
  <si>
    <t>For all CONE Areas except 2 and 3, total property taxes are real property taxes only.</t>
  </si>
  <si>
    <t>Pennsylvania: Pennsylvania Department of Revenue, "Sales and Use Tax Bulletin 2010-01," Issued July 28, 2010.</t>
  </si>
  <si>
    <t>Maryland: Comptroller of Maryland, 'Sales and Use Tax Production Exemptions,' updated March 2024.</t>
  </si>
  <si>
    <t xml:space="preserve">U.S. Department of the Treasury, Internal Revenue Service, "Publication 946 (2023): How to Depreciate Property," 2023. </t>
  </si>
  <si>
    <t>The reservation price analysis requires the use of the Solver add-in. To calculate the reservation price for a given technology, first make sure the CONE Area selected on the Control Tab is 'Rest of RTO'. Next, in the solver dialog, set the objective cell to the all-equity cash flow, with the goal of making it equal to the inverse of installed costs. The inverse of installed costs must be entered manually into the solver dialog, not linked to the corresponding cell. Finally, the variable cell must be the front-loaded CONE value in $/kW-yr highlighted in red. Running the solver with these parameters will find the reservation price. If done correctly, the switch below 'Installed Cost' will read "TRUE." More detailed instructions are included in the "Reservation Price" tab.</t>
  </si>
  <si>
    <t>Live-&gt;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</si>
</sst>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0.00;[Red]\-&quot;£&quot;#,##0.00"/>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0.0%"/>
    <numFmt numFmtId="171" formatCode="&quot;$&quot;#,##0"/>
    <numFmt numFmtId="172" formatCode="&quot;$&quot;#,##0.00"/>
    <numFmt numFmtId="173" formatCode="&quot;$&quot;#,##0.0"/>
    <numFmt numFmtId="174" formatCode="0.000000"/>
    <numFmt numFmtId="175" formatCode="0.0"/>
    <numFmt numFmtId="176" formatCode="_(* #,##0_);_(* \(#,##0\);_(* &quot;-&quot;??_);_(@_)"/>
    <numFmt numFmtId="177" formatCode="&quot;[&quot;#,###&quot;]&quot;"/>
    <numFmt numFmtId="178" formatCode="[$-409]d\-mmm\-yyyy;@"/>
    <numFmt numFmtId="179" formatCode="&quot;$&quot;#,##0.0000000_);\(&quot;$&quot;#,##0.0000000\)"/>
    <numFmt numFmtId="180" formatCode="#,##0.0"/>
    <numFmt numFmtId="181" formatCode="0.000000000000000%"/>
    <numFmt numFmtId="182" formatCode="#,##0.000"/>
    <numFmt numFmtId="183" formatCode="[$$-409]#,##0"/>
    <numFmt numFmtId="184" formatCode="0.0000000"/>
    <numFmt numFmtId="185" formatCode="[$-409]mmm\-yy;@"/>
    <numFmt numFmtId="186" formatCode="#,##0.00000"/>
    <numFmt numFmtId="187" formatCode="0.00000"/>
    <numFmt numFmtId="188" formatCode="0.000"/>
    <numFmt numFmtId="189" formatCode="[$$-409]#,##0.00"/>
    <numFmt numFmtId="190" formatCode="[$$-409]#,##0.0"/>
  </numFmts>
  <fonts count="104"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4"/>
      <color theme="3"/>
      <name val="Calibri"/>
      <family val="2"/>
      <scheme val="minor"/>
    </font>
    <font>
      <sz val="11"/>
      <name val="Calibri"/>
      <family val="2"/>
      <scheme val="minor"/>
    </font>
    <font>
      <sz val="10"/>
      <name val="Times New Roman"/>
      <family val="1"/>
    </font>
    <font>
      <sz val="11"/>
      <color theme="5"/>
      <name val="Calibri"/>
      <family val="2"/>
      <scheme val="minor"/>
    </font>
    <font>
      <u/>
      <sz val="11"/>
      <color theme="10"/>
      <name val="Calibri"/>
      <family val="2"/>
      <scheme val="minor"/>
    </font>
    <font>
      <sz val="11"/>
      <color rgb="FFFF0000"/>
      <name val="Calibri"/>
      <family val="2"/>
      <scheme val="minor"/>
    </font>
    <font>
      <sz val="10"/>
      <name val="Arial"/>
      <family val="2"/>
    </font>
    <font>
      <b/>
      <sz val="11"/>
      <name val="Calibri"/>
      <family val="2"/>
      <scheme val="minor"/>
    </font>
    <font>
      <i/>
      <sz val="11"/>
      <name val="Calibri"/>
      <family val="2"/>
      <scheme val="minor"/>
    </font>
    <font>
      <sz val="8"/>
      <name val="Times New Roman"/>
      <family val="1"/>
    </font>
    <font>
      <sz val="8"/>
      <name val="Times"/>
    </font>
    <font>
      <sz val="8"/>
      <name val="Arial"/>
      <family val="2"/>
    </font>
    <font>
      <sz val="11"/>
      <name val="Calibri"/>
      <family val="2"/>
    </font>
    <font>
      <sz val="8"/>
      <name val="Calibri"/>
      <family val="2"/>
      <scheme val="minor"/>
    </font>
    <font>
      <b/>
      <sz val="14"/>
      <color theme="4"/>
      <name val="Calibri"/>
      <family val="2"/>
      <scheme val="minor"/>
    </font>
    <font>
      <b/>
      <sz val="11"/>
      <color theme="0"/>
      <name val="Calibri"/>
      <family val="2"/>
      <scheme val="minor"/>
    </font>
    <font>
      <sz val="11"/>
      <color theme="0"/>
      <name val="Calibri"/>
      <family val="2"/>
      <scheme val="minor"/>
    </font>
    <font>
      <b/>
      <u/>
      <sz val="11"/>
      <name val="Calibri"/>
      <family val="2"/>
      <scheme val="minor"/>
    </font>
    <font>
      <b/>
      <sz val="4"/>
      <name val="Calibri"/>
      <family val="2"/>
      <scheme val="minor"/>
    </font>
    <font>
      <i/>
      <sz val="10"/>
      <name val="Arial"/>
      <family val="2"/>
    </font>
    <font>
      <sz val="11"/>
      <color theme="1"/>
      <name val="Calibri"/>
      <family val="2"/>
    </font>
    <font>
      <b/>
      <sz val="14"/>
      <color rgb="FF00467F"/>
      <name val="Calibri"/>
      <family val="2"/>
    </font>
    <font>
      <i/>
      <sz val="11"/>
      <color theme="1"/>
      <name val="Calibri"/>
      <family val="2"/>
    </font>
    <font>
      <b/>
      <sz val="11"/>
      <color theme="1"/>
      <name val="Calibri"/>
      <family val="2"/>
    </font>
    <font>
      <b/>
      <sz val="10"/>
      <name val="Arial"/>
      <family val="2"/>
    </font>
    <font>
      <b/>
      <sz val="11"/>
      <name val="Calibri"/>
      <family val="2"/>
    </font>
    <font>
      <sz val="9"/>
      <color theme="1"/>
      <name val="Calibri"/>
      <family val="2"/>
    </font>
    <font>
      <b/>
      <i/>
      <sz val="11"/>
      <color rgb="FFFF0000"/>
      <name val="Calibri"/>
      <family val="2"/>
    </font>
    <font>
      <i/>
      <sz val="11"/>
      <color theme="1"/>
      <name val="Calibri"/>
      <family val="2"/>
      <scheme val="minor"/>
    </font>
    <font>
      <sz val="11"/>
      <color rgb="FF000000"/>
      <name val="Calibri"/>
      <family val="2"/>
    </font>
    <font>
      <b/>
      <sz val="12"/>
      <color theme="1"/>
      <name val="Calibri"/>
      <family val="2"/>
      <scheme val="minor"/>
    </font>
    <font>
      <sz val="9"/>
      <name val="Calibri"/>
      <family val="2"/>
    </font>
    <font>
      <sz val="4"/>
      <color theme="1"/>
      <name val="Calibri"/>
      <family val="2"/>
    </font>
    <font>
      <b/>
      <sz val="11"/>
      <name val="Arial"/>
      <family val="2"/>
    </font>
    <font>
      <sz val="11"/>
      <name val="Arial"/>
      <family val="2"/>
    </font>
    <font>
      <sz val="4"/>
      <name val="Calibri"/>
      <family val="2"/>
      <scheme val="minor"/>
    </font>
    <font>
      <sz val="11"/>
      <color rgb="FF000000"/>
      <name val="Calibri"/>
      <family val="2"/>
      <scheme val="minor"/>
    </font>
    <font>
      <b/>
      <sz val="11"/>
      <color rgb="FF000000"/>
      <name val="Calibri"/>
      <family val="2"/>
      <scheme val="minor"/>
    </font>
    <font>
      <i/>
      <sz val="11"/>
      <color theme="0" tint="-0.499984740745262"/>
      <name val="Calibri"/>
      <family val="2"/>
      <scheme val="minor"/>
    </font>
    <font>
      <sz val="4"/>
      <color theme="1"/>
      <name val="Calibri"/>
      <family val="2"/>
      <scheme val="minor"/>
    </font>
    <font>
      <b/>
      <sz val="14"/>
      <color rgb="FF1B3D6F"/>
      <name val="Calibri"/>
      <family val="2"/>
      <scheme val="minor"/>
    </font>
    <font>
      <sz val="11"/>
      <color rgb="FFFFFFFF"/>
      <name val="Calibri"/>
      <family val="2"/>
      <scheme val="minor"/>
    </font>
    <font>
      <i/>
      <sz val="11"/>
      <color rgb="FF000000"/>
      <name val="Calibri"/>
      <family val="2"/>
      <scheme val="minor"/>
    </font>
    <font>
      <b/>
      <sz val="4"/>
      <color theme="1"/>
      <name val="Calibri"/>
      <family val="2"/>
    </font>
    <font>
      <i/>
      <sz val="11"/>
      <color theme="0"/>
      <name val="Calibri"/>
      <family val="2"/>
      <scheme val="minor"/>
    </font>
    <font>
      <b/>
      <sz val="11"/>
      <color rgb="FF000000"/>
      <name val="Calibri"/>
      <family val="2"/>
    </font>
    <font>
      <b/>
      <sz val="11"/>
      <color theme="3"/>
      <name val="Calibri"/>
      <family val="2"/>
      <scheme val="minor"/>
    </font>
    <font>
      <sz val="11"/>
      <color theme="3"/>
      <name val="Calibri"/>
      <family val="2"/>
      <scheme val="minor"/>
    </font>
    <font>
      <sz val="11"/>
      <color rgb="FF00B050"/>
      <name val="Calibri"/>
      <family val="2"/>
      <scheme val="minor"/>
    </font>
    <font>
      <sz val="11"/>
      <color theme="7"/>
      <name val="Calibri"/>
      <family val="2"/>
      <scheme val="minor"/>
    </font>
    <font>
      <sz val="11"/>
      <color rgb="FF0000CC"/>
      <name val="Calibri"/>
      <family val="2"/>
      <scheme val="minor"/>
    </font>
    <font>
      <sz val="11"/>
      <color rgb="FF7030A0"/>
      <name val="Calibri"/>
      <family val="2"/>
      <scheme val="minor"/>
    </font>
    <font>
      <b/>
      <vertAlign val="subscript"/>
      <sz val="11"/>
      <name val="Calibri"/>
      <family val="2"/>
      <scheme val="minor"/>
    </font>
    <font>
      <b/>
      <sz val="11"/>
      <color rgb="FF0000FF"/>
      <name val="Calibri"/>
      <family val="2"/>
      <scheme val="minor"/>
    </font>
    <font>
      <b/>
      <sz val="8"/>
      <name val="Calibri"/>
      <family val="2"/>
      <scheme val="minor"/>
    </font>
    <font>
      <sz val="11"/>
      <color rgb="FF0000FF"/>
      <name val="Calibri"/>
      <family val="2"/>
      <scheme val="minor"/>
    </font>
    <font>
      <b/>
      <sz val="11"/>
      <color rgb="FFFF0000"/>
      <name val="Calibri"/>
      <family val="2"/>
      <scheme val="minor"/>
    </font>
    <font>
      <i/>
      <sz val="11"/>
      <color rgb="FF0000FF"/>
      <name val="Calibri"/>
      <family val="2"/>
      <scheme val="minor"/>
    </font>
    <font>
      <sz val="10"/>
      <color indexed="8"/>
      <name val="Arial"/>
      <family val="2"/>
    </font>
    <font>
      <sz val="10"/>
      <color theme="0"/>
      <name val="Arial"/>
      <family val="2"/>
    </font>
    <font>
      <sz val="10"/>
      <color indexed="9"/>
      <name val="Arial"/>
      <family val="2"/>
    </font>
    <font>
      <b/>
      <sz val="4"/>
      <color theme="4"/>
      <name val="Calibri"/>
      <family val="2"/>
      <scheme val="minor"/>
    </font>
    <font>
      <sz val="4"/>
      <color rgb="FF000000"/>
      <name val="Calibri"/>
      <family val="2"/>
      <scheme val="minor"/>
    </font>
    <font>
      <b/>
      <vertAlign val="superscript"/>
      <sz val="11"/>
      <name val="Calibri"/>
      <family val="2"/>
      <scheme val="minor"/>
    </font>
    <font>
      <sz val="11"/>
      <color rgb="FF2297AA"/>
      <name val="Calibri"/>
      <family val="2"/>
      <scheme val="minor"/>
    </font>
    <font>
      <b/>
      <sz val="14"/>
      <color rgb="FF002B54"/>
      <name val="Calibri"/>
      <family val="2"/>
      <scheme val="minor"/>
    </font>
    <font>
      <b/>
      <u/>
      <sz val="11"/>
      <color theme="0"/>
      <name val="Calibri"/>
      <family val="2"/>
      <scheme val="minor"/>
    </font>
    <font>
      <sz val="11"/>
      <color theme="0" tint="-0.14999847407452621"/>
      <name val="Calibri"/>
      <family val="2"/>
      <scheme val="minor"/>
    </font>
    <font>
      <b/>
      <sz val="4"/>
      <color rgb="FF000000"/>
      <name val="Calibri"/>
      <family val="2"/>
      <scheme val="minor"/>
    </font>
    <font>
      <i/>
      <sz val="11"/>
      <name val="Arial"/>
      <family val="2"/>
    </font>
    <font>
      <b/>
      <sz val="11"/>
      <color rgb="FF00467F"/>
      <name val="Calibri"/>
      <family val="2"/>
    </font>
    <font>
      <b/>
      <sz val="11"/>
      <color theme="4"/>
      <name val="Calibri"/>
      <family val="2"/>
      <scheme val="minor"/>
    </font>
    <font>
      <b/>
      <i/>
      <sz val="11"/>
      <color theme="0" tint="-0.499984740745262"/>
      <name val="Calibri"/>
      <family val="2"/>
      <scheme val="minor"/>
    </font>
    <font>
      <sz val="11"/>
      <color theme="0" tint="-0.499984740745262"/>
      <name val="Calibri"/>
      <family val="2"/>
      <scheme val="minor"/>
    </font>
    <font>
      <b/>
      <sz val="12"/>
      <color theme="0"/>
      <name val="Calibri"/>
      <family val="2"/>
      <scheme val="minor"/>
    </font>
    <font>
      <sz val="12"/>
      <color theme="1"/>
      <name val="Calibri"/>
      <family val="2"/>
    </font>
    <font>
      <sz val="11"/>
      <color rgb="FF2297AA"/>
      <name val="Symbol"/>
      <family val="1"/>
      <charset val="2"/>
    </font>
    <font>
      <sz val="11"/>
      <color rgb="FF2297AA"/>
      <name val="Times New Roman"/>
      <family val="1"/>
    </font>
    <font>
      <b/>
      <sz val="11"/>
      <color theme="0"/>
      <name val="Calibri"/>
      <family val="2"/>
    </font>
    <font>
      <sz val="11"/>
      <color theme="0"/>
      <name val="Calibri"/>
      <family val="2"/>
    </font>
    <font>
      <b/>
      <sz val="4"/>
      <color theme="1"/>
      <name val="Calibri"/>
      <family val="2"/>
      <scheme val="minor"/>
    </font>
    <font>
      <b/>
      <sz val="9"/>
      <color theme="0"/>
      <name val="Calibri"/>
      <family val="2"/>
    </font>
    <font>
      <sz val="9"/>
      <color theme="0"/>
      <name val="Calibri"/>
      <family val="2"/>
    </font>
    <font>
      <sz val="4"/>
      <name val="Calibri"/>
      <family val="2"/>
    </font>
    <font>
      <b/>
      <sz val="11"/>
      <color rgb="FFFF0000"/>
      <name val="Calibri"/>
      <family val="2"/>
    </font>
    <font>
      <sz val="4"/>
      <color theme="0"/>
      <name val="Calibri"/>
      <family val="2"/>
      <scheme val="minor"/>
    </font>
    <font>
      <sz val="14"/>
      <color rgb="FF000000"/>
      <name val="Calibri"/>
      <family val="2"/>
      <scheme val="minor"/>
    </font>
    <font>
      <b/>
      <sz val="4"/>
      <color theme="0"/>
      <name val="Calibri"/>
      <family val="2"/>
      <scheme val="minor"/>
    </font>
    <font>
      <vertAlign val="superscript"/>
      <sz val="11"/>
      <name val="Calibri"/>
      <family val="2"/>
      <scheme val="minor"/>
    </font>
    <font>
      <sz val="10"/>
      <name val="Calibri"/>
      <family val="2"/>
      <scheme val="minor"/>
    </font>
    <font>
      <b/>
      <sz val="11"/>
      <color theme="0" tint="-0.499984740745262"/>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9.9978637043366805E-2"/>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004080"/>
        <bgColor indexed="64"/>
      </patternFill>
    </fill>
    <fill>
      <patternFill patternType="solid">
        <fgColor rgb="FFD9D9D9"/>
        <bgColor rgb="FF000000"/>
      </patternFill>
    </fill>
    <fill>
      <patternFill patternType="solid">
        <fgColor theme="0" tint="-0.14999847407452621"/>
        <bgColor rgb="FF000000"/>
      </patternFill>
    </fill>
    <fill>
      <patternFill patternType="solid">
        <fgColor rgb="FFF2F2F2"/>
        <bgColor rgb="FF000000"/>
      </patternFill>
    </fill>
    <fill>
      <patternFill patternType="solid">
        <fgColor rgb="FFFFFFFF"/>
        <bgColor rgb="FF000000"/>
      </patternFill>
    </fill>
    <fill>
      <patternFill patternType="solid">
        <fgColor rgb="FF004080"/>
        <bgColor rgb="FF000000"/>
      </patternFill>
    </fill>
    <fill>
      <patternFill patternType="solid">
        <fgColor rgb="FFB3DDFF"/>
        <bgColor indexed="64"/>
      </patternFill>
    </fill>
    <fill>
      <patternFill patternType="solid">
        <fgColor rgb="FF002B54"/>
        <bgColor indexed="64"/>
      </patternFill>
    </fill>
    <fill>
      <patternFill patternType="solid">
        <fgColor rgb="FFEBEBE7"/>
        <bgColor indexed="64"/>
      </patternFill>
    </fill>
    <fill>
      <patternFill patternType="solid">
        <fgColor rgb="FFCBE3E7"/>
        <bgColor indexed="64"/>
      </patternFill>
    </fill>
    <fill>
      <patternFill patternType="solid">
        <fgColor theme="0" tint="-4.9989318521683403E-2"/>
        <bgColor rgb="FF000000"/>
      </patternFill>
    </fill>
    <fill>
      <patternFill patternType="solid">
        <fgColor indexed="40"/>
      </patternFill>
    </fill>
    <fill>
      <patternFill patternType="solid">
        <fgColor theme="6" tint="0.79995117038483843"/>
        <bgColor indexed="65"/>
      </patternFill>
    </fill>
    <fill>
      <patternFill patternType="solid">
        <fgColor indexed="54"/>
      </patternFill>
    </fill>
    <fill>
      <patternFill patternType="solid">
        <fgColor rgb="FFB3DDFF"/>
        <bgColor rgb="FF000000"/>
      </patternFill>
    </fill>
    <fill>
      <patternFill patternType="solid">
        <fgColor theme="0"/>
        <bgColor rgb="FF000000"/>
      </patternFill>
    </fill>
    <fill>
      <patternFill patternType="solid">
        <fgColor rgb="FFEBEBE7"/>
        <bgColor rgb="FF000000"/>
      </patternFill>
    </fill>
    <fill>
      <patternFill patternType="solid">
        <fgColor rgb="FFCBE3E7"/>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theme="4"/>
        <bgColor indexed="64"/>
      </patternFill>
    </fill>
    <fill>
      <patternFill patternType="solid">
        <fgColor rgb="FFD5EAFF"/>
        <bgColor indexed="64"/>
      </patternFill>
    </fill>
  </fills>
  <borders count="23">
    <border>
      <left/>
      <right/>
      <top/>
      <bottom/>
      <diagonal/>
    </border>
    <border>
      <left/>
      <right/>
      <top/>
      <bottom style="double">
        <color indexed="64"/>
      </bottom>
      <diagonal/>
    </border>
    <border>
      <left/>
      <right/>
      <top/>
      <bottom style="thin">
        <color auto="1"/>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top style="thin">
        <color rgb="FF000000"/>
      </top>
      <bottom/>
      <diagonal/>
    </border>
    <border>
      <left/>
      <right/>
      <top style="double">
        <color rgb="FF000000"/>
      </top>
      <bottom/>
      <diagonal/>
    </border>
    <border>
      <left/>
      <right style="thin">
        <color indexed="64"/>
      </right>
      <top/>
      <bottom style="double">
        <color indexed="64"/>
      </bottom>
      <diagonal/>
    </border>
    <border>
      <left style="thin">
        <color indexed="64"/>
      </left>
      <right/>
      <top/>
      <bottom style="double">
        <color indexed="64"/>
      </bottom>
      <diagonal/>
    </border>
    <border>
      <left style="thin">
        <color rgb="FF000000"/>
      </left>
      <right/>
      <top/>
      <bottom/>
      <diagonal/>
    </border>
    <border>
      <left/>
      <right style="thin">
        <color rgb="FF000000"/>
      </right>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37">
    <xf numFmtId="0" fontId="0" fillId="0" borderId="0"/>
    <xf numFmtId="0" fontId="11" fillId="0" borderId="0"/>
    <xf numFmtId="0" fontId="11" fillId="0" borderId="0" applyNumberFormat="0" applyBorder="0" applyProtection="0">
      <alignment vertical="center"/>
    </xf>
    <xf numFmtId="0" fontId="15" fillId="0" borderId="0"/>
    <xf numFmtId="9" fontId="11" fillId="0" borderId="0" applyFont="0" applyFill="0" applyBorder="0" applyAlignment="0" applyProtection="0"/>
    <xf numFmtId="0" fontId="17" fillId="0" borderId="0" applyNumberFormat="0" applyFill="0" applyBorder="0" applyAlignment="0" applyProtection="0"/>
    <xf numFmtId="0" fontId="19" fillId="0" borderId="0"/>
    <xf numFmtId="0" fontId="19" fillId="0" borderId="0"/>
    <xf numFmtId="0" fontId="11" fillId="0" borderId="0"/>
    <xf numFmtId="9" fontId="19" fillId="0" borderId="0" applyFont="0" applyFill="0" applyBorder="0" applyAlignment="0" applyProtection="0"/>
    <xf numFmtId="0" fontId="22" fillId="0" borderId="0" applyNumberFormat="0" applyFill="0" applyBorder="0" applyAlignment="0" applyProtection="0"/>
    <xf numFmtId="0" fontId="23" fillId="0" borderId="0"/>
    <xf numFmtId="0" fontId="19" fillId="0" borderId="0"/>
    <xf numFmtId="0" fontId="24" fillId="0" borderId="0"/>
    <xf numFmtId="174" fontId="19" fillId="0" borderId="0">
      <alignment horizontal="left"/>
    </xf>
    <xf numFmtId="9" fontId="2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9" fontId="19" fillId="0" borderId="0" applyFont="0" applyFill="0" applyBorder="0" applyAlignment="0" applyProtection="0"/>
    <xf numFmtId="168" fontId="11" fillId="0" borderId="0" applyFont="0" applyFill="0" applyBorder="0" applyAlignment="0" applyProtection="0"/>
    <xf numFmtId="0" fontId="11" fillId="0" borderId="0"/>
    <xf numFmtId="0" fontId="11" fillId="0" borderId="0" applyNumberFormat="0" applyBorder="0" applyProtection="0">
      <alignment vertical="center"/>
    </xf>
    <xf numFmtId="0" fontId="11" fillId="0" borderId="0"/>
    <xf numFmtId="0" fontId="33" fillId="0" borderId="0"/>
    <xf numFmtId="169" fontId="11" fillId="0" borderId="0" applyFont="0" applyFill="0" applyBorder="0" applyAlignment="0" applyProtection="0"/>
    <xf numFmtId="0" fontId="11" fillId="0" borderId="0" applyNumberFormat="0" applyBorder="0" applyProtection="0">
      <alignment vertical="center"/>
    </xf>
    <xf numFmtId="0" fontId="11" fillId="0" borderId="0"/>
    <xf numFmtId="168" fontId="11" fillId="0" borderId="0" applyFont="0" applyFill="0" applyBorder="0" applyAlignment="0" applyProtection="0"/>
    <xf numFmtId="0" fontId="71" fillId="20" borderId="0" applyNumberFormat="0" applyBorder="0" applyAlignment="0" applyProtection="0"/>
    <xf numFmtId="0" fontId="11" fillId="21" borderId="0" applyNumberFormat="0" applyBorder="0" applyAlignment="0" applyProtection="0"/>
    <xf numFmtId="0" fontId="73" fillId="22" borderId="0" applyNumberFormat="0" applyBorder="0" applyAlignment="0" applyProtection="0"/>
    <xf numFmtId="0" fontId="11" fillId="0" borderId="0" applyNumberFormat="0" applyBorder="0" applyProtection="0">
      <alignment vertical="center"/>
    </xf>
    <xf numFmtId="0" fontId="11" fillId="0" borderId="0" applyNumberFormat="0" applyBorder="0" applyProtection="0">
      <alignment vertical="center"/>
    </xf>
    <xf numFmtId="0" fontId="11" fillId="0" borderId="0"/>
    <xf numFmtId="0" fontId="11" fillId="0" borderId="0"/>
    <xf numFmtId="9" fontId="11" fillId="0" borderId="0" applyFont="0" applyFill="0" applyBorder="0" applyAlignment="0" applyProtection="0"/>
    <xf numFmtId="0" fontId="7" fillId="0" borderId="0"/>
  </cellStyleXfs>
  <cellXfs count="2231">
    <xf numFmtId="0" fontId="0" fillId="0" borderId="0" xfId="0"/>
    <xf numFmtId="0" fontId="0" fillId="0" borderId="0" xfId="0" applyAlignment="1">
      <alignment vertical="center"/>
    </xf>
    <xf numFmtId="0" fontId="1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11" fillId="0" borderId="0" xfId="2">
      <alignment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right"/>
    </xf>
    <xf numFmtId="0" fontId="16" fillId="0" borderId="0" xfId="0" applyFont="1"/>
    <xf numFmtId="0" fontId="11" fillId="0" borderId="2" xfId="2" applyBorder="1">
      <alignment vertical="center"/>
    </xf>
    <xf numFmtId="0" fontId="11" fillId="0" borderId="0" xfId="2" applyAlignment="1">
      <alignment vertical="center" wrapText="1"/>
    </xf>
    <xf numFmtId="0" fontId="11" fillId="0" borderId="0" xfId="2" applyAlignment="1">
      <alignment horizontal="right" vertical="center"/>
    </xf>
    <xf numFmtId="0" fontId="11" fillId="0" borderId="0" xfId="2"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11" fillId="0" borderId="0" xfId="2" applyAlignment="1">
      <alignment vertical="center"/>
    </xf>
    <xf numFmtId="0" fontId="11" fillId="0" borderId="0" xfId="2" applyAlignment="1">
      <alignment horizontal="center" vertical="center"/>
    </xf>
    <xf numFmtId="0" fontId="0" fillId="0" borderId="1" xfId="0" applyBorder="1" applyAlignment="1">
      <alignment horizontal="center" vertical="center"/>
    </xf>
    <xf numFmtId="0" fontId="11" fillId="0" borderId="2" xfId="2" applyBorder="1" applyAlignment="1">
      <alignment horizontal="center" vertical="center"/>
    </xf>
    <xf numFmtId="0" fontId="11" fillId="0" borderId="1" xfId="2" applyBorder="1">
      <alignment vertical="center"/>
    </xf>
    <xf numFmtId="172" fontId="11" fillId="0" borderId="0" xfId="2" applyNumberFormat="1">
      <alignment vertical="center"/>
    </xf>
    <xf numFmtId="0" fontId="11" fillId="0" borderId="0" xfId="2" applyFont="1" applyAlignment="1">
      <alignment horizontal="right" vertical="center"/>
    </xf>
    <xf numFmtId="0" fontId="11" fillId="0" borderId="0" xfId="2" applyFont="1">
      <alignment vertical="center"/>
    </xf>
    <xf numFmtId="0" fontId="11" fillId="0" borderId="1" xfId="2" applyBorder="1" applyAlignment="1">
      <alignment horizontal="center" vertical="center"/>
    </xf>
    <xf numFmtId="0" fontId="11" fillId="0" borderId="1" xfId="2" applyBorder="1" applyAlignment="1">
      <alignment horizontal="left" vertical="center"/>
    </xf>
    <xf numFmtId="0" fontId="11" fillId="0" borderId="0" xfId="2" applyFill="1">
      <alignment vertical="center"/>
    </xf>
    <xf numFmtId="0" fontId="11" fillId="0" borderId="0" xfId="2" applyAlignment="1">
      <alignment horizontal="left" vertical="center" indent="2"/>
    </xf>
    <xf numFmtId="0" fontId="14" fillId="0" borderId="0" xfId="7" applyFont="1"/>
    <xf numFmtId="0" fontId="14" fillId="0" borderId="0" xfId="10" applyFont="1"/>
    <xf numFmtId="0" fontId="14" fillId="0" borderId="0" xfId="10" applyFont="1" applyAlignment="1">
      <alignment horizontal="center"/>
    </xf>
    <xf numFmtId="0" fontId="14" fillId="0" borderId="0" xfId="10" applyFont="1" applyFill="1"/>
    <xf numFmtId="0" fontId="14" fillId="0" borderId="0" xfId="10" applyFont="1" applyFill="1" applyAlignment="1">
      <alignment horizontal="center"/>
    </xf>
    <xf numFmtId="3" fontId="14" fillId="0" borderId="0" xfId="10" applyNumberFormat="1" applyFont="1" applyAlignment="1">
      <alignment horizontal="center"/>
    </xf>
    <xf numFmtId="0" fontId="14" fillId="0" borderId="0" xfId="7" applyFont="1" applyAlignment="1">
      <alignment horizontal="justify" vertical="center"/>
    </xf>
    <xf numFmtId="3" fontId="14" fillId="0" borderId="0" xfId="10" applyNumberFormat="1" applyFont="1" applyFill="1" applyBorder="1" applyAlignment="1">
      <alignment horizontal="center" vertical="center" wrapText="1"/>
    </xf>
    <xf numFmtId="0" fontId="11" fillId="2" borderId="0" xfId="2" applyFill="1">
      <alignment vertical="center"/>
    </xf>
    <xf numFmtId="0" fontId="14" fillId="0" borderId="0" xfId="10" applyFont="1" applyFill="1" applyAlignment="1">
      <alignment horizontal="right"/>
    </xf>
    <xf numFmtId="0" fontId="16" fillId="0" borderId="0" xfId="20" applyFont="1"/>
    <xf numFmtId="0" fontId="11" fillId="0" borderId="0" xfId="20"/>
    <xf numFmtId="0" fontId="11" fillId="0" borderId="1" xfId="20" applyBorder="1"/>
    <xf numFmtId="0" fontId="12" fillId="2" borderId="0" xfId="2" applyFont="1" applyFill="1">
      <alignment vertical="center"/>
    </xf>
    <xf numFmtId="0" fontId="12" fillId="0" borderId="0" xfId="2" applyFont="1" applyFill="1">
      <alignment vertical="center"/>
    </xf>
    <xf numFmtId="0" fontId="11" fillId="0" borderId="2" xfId="2" applyFill="1" applyBorder="1">
      <alignment vertical="center"/>
    </xf>
    <xf numFmtId="0" fontId="11" fillId="0" borderId="1" xfId="2" applyFill="1" applyBorder="1">
      <alignment vertical="center"/>
    </xf>
    <xf numFmtId="10" fontId="11" fillId="0" borderId="0" xfId="4" applyNumberFormat="1" applyFill="1" applyAlignment="1">
      <alignment vertical="center"/>
    </xf>
    <xf numFmtId="0" fontId="0" fillId="0" borderId="0" xfId="0" applyFill="1" applyAlignment="1">
      <alignment horizontal="left" indent="2"/>
    </xf>
    <xf numFmtId="0" fontId="0" fillId="2" borderId="0" xfId="0" applyFill="1" applyAlignment="1">
      <alignment vertical="center"/>
    </xf>
    <xf numFmtId="0" fontId="0" fillId="2" borderId="0" xfId="0" applyFill="1"/>
    <xf numFmtId="0" fontId="12" fillId="2" borderId="0" xfId="0" applyFont="1" applyFill="1"/>
    <xf numFmtId="0" fontId="27" fillId="2" borderId="0" xfId="2" applyFont="1" applyFill="1">
      <alignment vertical="center"/>
    </xf>
    <xf numFmtId="0" fontId="11" fillId="2" borderId="1" xfId="2" applyFill="1" applyBorder="1">
      <alignment vertical="center"/>
    </xf>
    <xf numFmtId="0" fontId="11" fillId="2" borderId="0" xfId="2" applyFill="1" applyBorder="1">
      <alignment vertical="center"/>
    </xf>
    <xf numFmtId="0" fontId="12" fillId="2" borderId="0" xfId="2" applyFont="1" applyFill="1" applyBorder="1">
      <alignment vertical="center"/>
    </xf>
    <xf numFmtId="0" fontId="11" fillId="2" borderId="0" xfId="2" applyFill="1" applyAlignment="1">
      <alignment horizontal="center" vertical="center"/>
    </xf>
    <xf numFmtId="10" fontId="11" fillId="2" borderId="0" xfId="4" applyNumberFormat="1" applyFill="1" applyAlignment="1">
      <alignment vertical="center"/>
    </xf>
    <xf numFmtId="0" fontId="11" fillId="2" borderId="2" xfId="2" applyFill="1" applyBorder="1">
      <alignment vertical="center"/>
    </xf>
    <xf numFmtId="0" fontId="11" fillId="2" borderId="2" xfId="2" applyFill="1" applyBorder="1" applyAlignment="1">
      <alignment horizontal="center" vertical="center"/>
    </xf>
    <xf numFmtId="0" fontId="11" fillId="2" borderId="0" xfId="2" applyFill="1" applyAlignment="1">
      <alignment vertical="center" wrapText="1"/>
    </xf>
    <xf numFmtId="171" fontId="11" fillId="2" borderId="0" xfId="2" applyNumberFormat="1" applyFill="1">
      <alignment vertical="center"/>
    </xf>
    <xf numFmtId="0" fontId="11" fillId="2" borderId="0" xfId="2" applyFill="1" applyAlignment="1">
      <alignment horizontal="right" vertical="center"/>
    </xf>
    <xf numFmtId="0" fontId="0" fillId="0" borderId="0" xfId="0" applyAlignment="1">
      <alignment wrapText="1"/>
    </xf>
    <xf numFmtId="0" fontId="14" fillId="3" borderId="0" xfId="7" applyFont="1" applyFill="1"/>
    <xf numFmtId="0" fontId="14" fillId="4" borderId="0" xfId="10" applyFont="1" applyFill="1" applyBorder="1" applyAlignment="1">
      <alignment horizontal="left" indent="1"/>
    </xf>
    <xf numFmtId="0" fontId="20" fillId="4" borderId="0" xfId="10" applyFont="1" applyFill="1" applyBorder="1"/>
    <xf numFmtId="0" fontId="14" fillId="2" borderId="0" xfId="10" applyFont="1" applyFill="1"/>
    <xf numFmtId="173" fontId="14" fillId="2" borderId="0" xfId="10" applyNumberFormat="1" applyFont="1" applyFill="1"/>
    <xf numFmtId="0" fontId="14" fillId="2" borderId="0" xfId="10" applyFont="1" applyFill="1" applyBorder="1"/>
    <xf numFmtId="0" fontId="28" fillId="5" borderId="0" xfId="12" applyFont="1" applyFill="1"/>
    <xf numFmtId="0" fontId="29" fillId="5" borderId="0" xfId="12" applyFont="1" applyFill="1" applyAlignment="1">
      <alignment horizontal="left" indent="2"/>
    </xf>
    <xf numFmtId="173" fontId="29" fillId="5" borderId="0" xfId="13" applyNumberFormat="1" applyFont="1" applyFill="1" applyAlignment="1">
      <alignment horizontal="right" wrapText="1" indent="2"/>
    </xf>
    <xf numFmtId="0" fontId="14" fillId="2" borderId="0" xfId="7" applyFont="1" applyFill="1"/>
    <xf numFmtId="0" fontId="20" fillId="2" borderId="0" xfId="7" applyFont="1" applyFill="1"/>
    <xf numFmtId="0" fontId="19" fillId="0" borderId="0" xfId="0" applyFont="1"/>
    <xf numFmtId="0" fontId="32" fillId="0" borderId="0" xfId="0" applyFont="1"/>
    <xf numFmtId="0" fontId="37" fillId="0" borderId="0" xfId="0" applyFont="1"/>
    <xf numFmtId="172" fontId="14" fillId="2" borderId="0" xfId="7" applyNumberFormat="1" applyFont="1" applyFill="1"/>
    <xf numFmtId="0" fontId="0" fillId="0" borderId="1" xfId="0" applyBorder="1"/>
    <xf numFmtId="0" fontId="14" fillId="0" borderId="0" xfId="0" applyFont="1" applyAlignment="1">
      <alignment horizontal="center"/>
    </xf>
    <xf numFmtId="0" fontId="14" fillId="0" borderId="0" xfId="0" applyFont="1"/>
    <xf numFmtId="0" fontId="20" fillId="0" borderId="0" xfId="0" applyFont="1" applyAlignment="1">
      <alignment horizontal="center"/>
    </xf>
    <xf numFmtId="0" fontId="33" fillId="0" borderId="0" xfId="0" applyFont="1"/>
    <xf numFmtId="0" fontId="0" fillId="0" borderId="0" xfId="0" applyFill="1"/>
    <xf numFmtId="0" fontId="14" fillId="0" borderId="0" xfId="7" applyFont="1" applyFill="1"/>
    <xf numFmtId="10" fontId="11" fillId="7" borderId="0" xfId="4" applyNumberFormat="1" applyFill="1" applyAlignment="1">
      <alignment vertical="center"/>
    </xf>
    <xf numFmtId="0" fontId="14" fillId="0" borderId="1" xfId="7" applyFont="1" applyBorder="1"/>
    <xf numFmtId="0" fontId="13" fillId="0" borderId="0" xfId="0" applyFont="1" applyFill="1" applyAlignment="1">
      <alignment vertical="center"/>
    </xf>
    <xf numFmtId="0" fontId="0" fillId="0" borderId="0" xfId="0" applyFill="1" applyAlignment="1">
      <alignment vertical="center"/>
    </xf>
    <xf numFmtId="0" fontId="16" fillId="0" borderId="0" xfId="0" applyFont="1" applyFill="1"/>
    <xf numFmtId="0" fontId="0" fillId="0" borderId="0" xfId="0"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11" fillId="0" borderId="0" xfId="2" applyFill="1" applyAlignment="1">
      <alignment horizontal="center" vertical="center"/>
    </xf>
    <xf numFmtId="0" fontId="11" fillId="0" borderId="0" xfId="2" applyFill="1" applyAlignment="1">
      <alignment horizontal="left" vertical="center" indent="2"/>
    </xf>
    <xf numFmtId="0" fontId="11" fillId="7" borderId="0" xfId="2" applyFill="1">
      <alignment vertical="center"/>
    </xf>
    <xf numFmtId="0" fontId="0" fillId="0" borderId="0" xfId="0" applyFill="1" applyAlignment="1">
      <alignment horizontal="right"/>
    </xf>
    <xf numFmtId="10" fontId="14" fillId="0" borderId="0" xfId="3" applyNumberFormat="1" applyFont="1" applyFill="1" applyAlignment="1">
      <alignment horizontal="right"/>
    </xf>
    <xf numFmtId="10" fontId="0" fillId="0" borderId="0" xfId="0" applyNumberFormat="1" applyFill="1" applyAlignment="1">
      <alignment horizontal="right"/>
    </xf>
    <xf numFmtId="0" fontId="11" fillId="0" borderId="0" xfId="2" applyFont="1" applyFill="1">
      <alignment vertical="center"/>
    </xf>
    <xf numFmtId="10" fontId="0" fillId="0" borderId="0" xfId="4" applyNumberFormat="1" applyFont="1" applyFill="1" applyAlignment="1">
      <alignment horizontal="right"/>
    </xf>
    <xf numFmtId="0" fontId="0" fillId="0" borderId="0" xfId="0" applyFill="1" applyAlignment="1">
      <alignment horizontal="right" vertical="center"/>
    </xf>
    <xf numFmtId="0" fontId="0" fillId="0" borderId="1" xfId="0" applyFill="1" applyBorder="1" applyAlignment="1">
      <alignment horizontal="right" vertical="center"/>
    </xf>
    <xf numFmtId="14" fontId="11" fillId="0" borderId="2" xfId="2" applyNumberFormat="1" applyFill="1" applyBorder="1" applyAlignment="1">
      <alignment horizontal="right" vertical="center"/>
    </xf>
    <xf numFmtId="1" fontId="0" fillId="0" borderId="0" xfId="0" applyNumberFormat="1" applyFill="1" applyAlignment="1">
      <alignment horizontal="right"/>
    </xf>
    <xf numFmtId="0" fontId="11" fillId="0" borderId="0" xfId="2" applyFill="1" applyAlignment="1">
      <alignment horizontal="left" vertical="center"/>
    </xf>
    <xf numFmtId="0" fontId="11" fillId="0" borderId="1" xfId="2" applyFill="1" applyBorder="1" applyAlignment="1">
      <alignment horizontal="center" vertical="center"/>
    </xf>
    <xf numFmtId="0" fontId="14" fillId="0" borderId="0" xfId="6" applyFont="1" applyFill="1"/>
    <xf numFmtId="0" fontId="14" fillId="0" borderId="0" xfId="6" applyFont="1" applyFill="1" applyAlignment="1">
      <alignment horizontal="right"/>
    </xf>
    <xf numFmtId="0" fontId="14" fillId="0" borderId="1" xfId="6" applyFont="1" applyFill="1" applyBorder="1" applyAlignment="1">
      <alignment horizontal="right"/>
    </xf>
    <xf numFmtId="0" fontId="14" fillId="0" borderId="1" xfId="6" applyFont="1" applyFill="1" applyBorder="1"/>
    <xf numFmtId="0" fontId="20" fillId="0" borderId="0" xfId="7" applyFont="1" applyFill="1" applyAlignment="1">
      <alignment horizontal="left"/>
    </xf>
    <xf numFmtId="172" fontId="14" fillId="0" borderId="0" xfId="6" applyNumberFormat="1" applyFont="1" applyFill="1" applyAlignment="1">
      <alignment horizontal="right"/>
    </xf>
    <xf numFmtId="172" fontId="20" fillId="0" borderId="0" xfId="6" applyNumberFormat="1" applyFont="1" applyFill="1" applyAlignment="1">
      <alignment horizontal="left"/>
    </xf>
    <xf numFmtId="172" fontId="14" fillId="0" borderId="0" xfId="6" applyNumberFormat="1" applyFont="1" applyFill="1"/>
    <xf numFmtId="0" fontId="14" fillId="0" borderId="0" xfId="7" applyFont="1" applyFill="1" applyAlignment="1">
      <alignment horizontal="center"/>
    </xf>
    <xf numFmtId="0" fontId="21" fillId="0" borderId="0" xfId="7" applyFont="1" applyFill="1" applyAlignment="1">
      <alignment horizontal="right"/>
    </xf>
    <xf numFmtId="0" fontId="14" fillId="0" borderId="0" xfId="7" applyFont="1" applyFill="1" applyAlignment="1">
      <alignment horizontal="right"/>
    </xf>
    <xf numFmtId="0" fontId="14" fillId="0" borderId="2" xfId="7" applyFont="1" applyFill="1" applyBorder="1" applyAlignment="1">
      <alignment horizontal="center"/>
    </xf>
    <xf numFmtId="0" fontId="20" fillId="0" borderId="2" xfId="7" applyFont="1" applyFill="1" applyBorder="1" applyAlignment="1">
      <alignment horizontal="center"/>
    </xf>
    <xf numFmtId="0" fontId="21" fillId="0" borderId="2" xfId="7" applyFont="1" applyFill="1" applyBorder="1" applyAlignment="1">
      <alignment horizontal="right"/>
    </xf>
    <xf numFmtId="0" fontId="14" fillId="0" borderId="2" xfId="7" applyFont="1" applyFill="1" applyBorder="1" applyAlignment="1">
      <alignment horizontal="right"/>
    </xf>
    <xf numFmtId="0" fontId="20" fillId="0" borderId="0" xfId="7" applyFont="1" applyFill="1" applyAlignment="1">
      <alignment horizontal="center"/>
    </xf>
    <xf numFmtId="10" fontId="14" fillId="0" borderId="0" xfId="6" applyNumberFormat="1" applyFont="1" applyFill="1"/>
    <xf numFmtId="0" fontId="20" fillId="0" borderId="1" xfId="6" applyFont="1" applyFill="1" applyBorder="1" applyAlignment="1">
      <alignment horizontal="right"/>
    </xf>
    <xf numFmtId="172" fontId="20" fillId="0" borderId="1" xfId="9" applyNumberFormat="1" applyFont="1" applyFill="1" applyBorder="1"/>
    <xf numFmtId="4" fontId="14" fillId="0" borderId="0" xfId="6" applyNumberFormat="1" applyFont="1" applyFill="1"/>
    <xf numFmtId="171" fontId="11" fillId="7" borderId="0" xfId="2" applyNumberFormat="1" applyFill="1">
      <alignment vertical="center"/>
    </xf>
    <xf numFmtId="0" fontId="0" fillId="0" borderId="0" xfId="0" applyFill="1" applyAlignment="1">
      <alignment horizontal="center"/>
    </xf>
    <xf numFmtId="0" fontId="25" fillId="0" borderId="0" xfId="2" applyFont="1" applyFill="1" applyBorder="1" applyAlignment="1">
      <alignment horizontal="left" vertical="center" indent="2"/>
    </xf>
    <xf numFmtId="0" fontId="0" fillId="7" borderId="0" xfId="0" applyFill="1"/>
    <xf numFmtId="0" fontId="33" fillId="0" borderId="0" xfId="0" applyFont="1" applyFill="1" applyBorder="1"/>
    <xf numFmtId="178" fontId="0" fillId="0" borderId="0" xfId="0" applyNumberFormat="1" applyFill="1" applyAlignment="1">
      <alignment horizontal="right"/>
    </xf>
    <xf numFmtId="0" fontId="11" fillId="0" borderId="0" xfId="2" applyFill="1" applyBorder="1">
      <alignment vertical="center"/>
    </xf>
    <xf numFmtId="171" fontId="41" fillId="0" borderId="0" xfId="2" applyNumberFormat="1" applyFont="1">
      <alignment vertical="center"/>
    </xf>
    <xf numFmtId="171" fontId="41" fillId="0" borderId="0" xfId="2" applyNumberFormat="1" applyFont="1" applyFill="1">
      <alignment vertical="center"/>
    </xf>
    <xf numFmtId="0" fontId="27" fillId="7" borderId="0" xfId="2" applyFont="1" applyFill="1">
      <alignment vertical="center"/>
    </xf>
    <xf numFmtId="0" fontId="11" fillId="7" borderId="1" xfId="2" applyFill="1" applyBorder="1">
      <alignment vertical="center"/>
    </xf>
    <xf numFmtId="0" fontId="11" fillId="7" borderId="2" xfId="2" applyFill="1" applyBorder="1">
      <alignment vertical="center"/>
    </xf>
    <xf numFmtId="0" fontId="12" fillId="0" borderId="0" xfId="0" applyFont="1" applyFill="1" applyAlignment="1">
      <alignment horizontal="left" vertical="center"/>
    </xf>
    <xf numFmtId="0" fontId="11" fillId="0" borderId="2" xfId="1" applyFill="1" applyBorder="1" applyAlignment="1">
      <alignment horizontal="left" wrapText="1" indent="2"/>
    </xf>
    <xf numFmtId="0" fontId="0" fillId="0" borderId="0" xfId="0" applyFill="1" applyAlignment="1">
      <alignment horizontal="left"/>
    </xf>
    <xf numFmtId="0" fontId="0" fillId="7" borderId="0" xfId="0" applyFill="1" applyAlignment="1">
      <alignment vertical="center"/>
    </xf>
    <xf numFmtId="0" fontId="12" fillId="7" borderId="0" xfId="0" applyFont="1" applyFill="1"/>
    <xf numFmtId="0" fontId="14" fillId="7" borderId="0" xfId="10" applyFont="1" applyFill="1"/>
    <xf numFmtId="0" fontId="14" fillId="0" borderId="0" xfId="0" applyFont="1" applyFill="1"/>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0" borderId="0" xfId="2" applyFill="1" applyAlignment="1">
      <alignment vertical="center"/>
    </xf>
    <xf numFmtId="9" fontId="19" fillId="0" borderId="0" xfId="4" applyFont="1"/>
    <xf numFmtId="0" fontId="0" fillId="0" borderId="0" xfId="0" applyAlignment="1"/>
    <xf numFmtId="178" fontId="14" fillId="0" borderId="0" xfId="0" applyNumberFormat="1" applyFont="1" applyFill="1" applyAlignment="1">
      <alignment horizontal="right"/>
    </xf>
    <xf numFmtId="0" fontId="14" fillId="0" borderId="0" xfId="2" applyFont="1" applyFill="1">
      <alignment vertical="center"/>
    </xf>
    <xf numFmtId="0" fontId="14" fillId="0" borderId="0" xfId="2" applyFont="1">
      <alignment vertical="center"/>
    </xf>
    <xf numFmtId="171" fontId="14" fillId="0" borderId="0" xfId="2" applyNumberFormat="1" applyFont="1" applyFill="1">
      <alignment vertical="center"/>
    </xf>
    <xf numFmtId="10" fontId="14" fillId="0" borderId="0" xfId="4" applyNumberFormat="1" applyFont="1" applyFill="1" applyAlignment="1">
      <alignment vertical="center"/>
    </xf>
    <xf numFmtId="0" fontId="14" fillId="0" borderId="2" xfId="2" applyFont="1" applyBorder="1">
      <alignment vertical="center"/>
    </xf>
    <xf numFmtId="171" fontId="14" fillId="0" borderId="0" xfId="2" applyNumberFormat="1" applyFont="1">
      <alignment vertical="center"/>
    </xf>
    <xf numFmtId="0" fontId="14" fillId="0" borderId="0" xfId="2" applyFont="1" applyAlignment="1">
      <alignment horizontal="left" vertical="center"/>
    </xf>
    <xf numFmtId="172" fontId="14" fillId="0" borderId="0" xfId="2" applyNumberFormat="1" applyFont="1" applyFill="1">
      <alignment vertical="center"/>
    </xf>
    <xf numFmtId="0" fontId="14" fillId="0" borderId="2" xfId="2" applyFont="1" applyFill="1" applyBorder="1">
      <alignment vertical="center"/>
    </xf>
    <xf numFmtId="10" fontId="14" fillId="0" borderId="0" xfId="4" applyNumberFormat="1" applyFont="1" applyAlignment="1">
      <alignment vertical="center"/>
    </xf>
    <xf numFmtId="0" fontId="20" fillId="0" borderId="0" xfId="2" applyFont="1">
      <alignment vertical="center"/>
    </xf>
    <xf numFmtId="0" fontId="20" fillId="0" borderId="0" xfId="2" applyFont="1" applyFill="1">
      <alignment vertical="center"/>
    </xf>
    <xf numFmtId="172" fontId="14" fillId="0" borderId="0" xfId="2" applyNumberFormat="1" applyFont="1">
      <alignment vertical="center"/>
    </xf>
    <xf numFmtId="171" fontId="20" fillId="0" borderId="0" xfId="2" applyNumberFormat="1" applyFont="1" applyFill="1">
      <alignment vertical="center"/>
    </xf>
    <xf numFmtId="171" fontId="20" fillId="0" borderId="0" xfId="2" applyNumberFormat="1" applyFont="1">
      <alignment vertical="center"/>
    </xf>
    <xf numFmtId="0" fontId="14" fillId="0" borderId="0" xfId="2" applyFont="1" applyFill="1" applyAlignment="1">
      <alignment horizontal="right" vertical="center"/>
    </xf>
    <xf numFmtId="1" fontId="14" fillId="0" borderId="0" xfId="2" applyNumberFormat="1" applyFont="1" applyFill="1">
      <alignment vertical="center"/>
    </xf>
    <xf numFmtId="10" fontId="14" fillId="0" borderId="0" xfId="2" applyNumberFormat="1" applyFont="1" applyFill="1">
      <alignment vertical="center"/>
    </xf>
    <xf numFmtId="3" fontId="14" fillId="0" borderId="0" xfId="2" applyNumberFormat="1" applyFont="1" applyFill="1">
      <alignment vertical="center"/>
    </xf>
    <xf numFmtId="10" fontId="20" fillId="0" borderId="0" xfId="4" applyNumberFormat="1" applyFont="1" applyFill="1" applyAlignment="1">
      <alignment vertical="center"/>
    </xf>
    <xf numFmtId="4" fontId="14" fillId="0" borderId="0" xfId="2" applyNumberFormat="1" applyFont="1" applyFill="1">
      <alignment vertical="center"/>
    </xf>
    <xf numFmtId="4" fontId="14" fillId="0" borderId="2" xfId="2" applyNumberFormat="1" applyFont="1" applyFill="1" applyBorder="1">
      <alignment vertical="center"/>
    </xf>
    <xf numFmtId="0" fontId="20" fillId="0" borderId="0" xfId="2" applyFont="1" applyFill="1" applyAlignment="1">
      <alignment horizontal="right" vertical="center"/>
    </xf>
    <xf numFmtId="0" fontId="14" fillId="3" borderId="0" xfId="2" applyFont="1" applyFill="1" applyAlignment="1">
      <alignment horizontal="right" vertical="center"/>
    </xf>
    <xf numFmtId="0" fontId="43" fillId="0" borderId="0" xfId="0" applyFont="1" applyFill="1" applyAlignment="1">
      <alignment vertical="center"/>
    </xf>
    <xf numFmtId="0" fontId="11" fillId="0" borderId="0" xfId="1" applyFill="1" applyBorder="1" applyAlignment="1">
      <alignment horizontal="left" wrapText="1" indent="2"/>
    </xf>
    <xf numFmtId="0" fontId="0" fillId="0" borderId="0" xfId="0" applyBorder="1" applyAlignment="1">
      <alignment vertical="center"/>
    </xf>
    <xf numFmtId="14" fontId="11" fillId="0" borderId="0" xfId="2" applyNumberFormat="1" applyFill="1" applyBorder="1" applyAlignment="1">
      <alignment horizontal="right" vertical="center"/>
    </xf>
    <xf numFmtId="0" fontId="0" fillId="0" borderId="0" xfId="0" applyAlignment="1">
      <alignment horizontal="right" vertical="center" wrapText="1"/>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0" borderId="0" xfId="20" applyAlignment="1">
      <alignment horizontal="left" indent="2"/>
    </xf>
    <xf numFmtId="0" fontId="11" fillId="0" borderId="0" xfId="20" applyFill="1" applyAlignment="1">
      <alignment horizontal="left" indent="2"/>
    </xf>
    <xf numFmtId="10" fontId="14" fillId="0" borderId="0" xfId="9" applyNumberFormat="1" applyFont="1" applyFill="1" applyAlignment="1">
      <alignment vertical="center"/>
    </xf>
    <xf numFmtId="0" fontId="0" fillId="7" borderId="0" xfId="0" applyFill="1" applyAlignment="1">
      <alignment horizontal="left"/>
    </xf>
    <xf numFmtId="0" fontId="11" fillId="0" borderId="0" xfId="2" applyFill="1" applyAlignment="1">
      <alignment horizontal="left" vertical="center" wrapText="1" indent="2"/>
    </xf>
    <xf numFmtId="0" fontId="11" fillId="0" borderId="0" xfId="2" applyFill="1" applyAlignment="1">
      <alignment horizontal="left" vertical="center" wrapText="1" indent="2"/>
    </xf>
    <xf numFmtId="170" fontId="11" fillId="0" borderId="0" xfId="2" applyNumberFormat="1" applyFill="1" applyAlignment="1">
      <alignment horizontal="right" vertical="center"/>
    </xf>
    <xf numFmtId="0" fontId="14" fillId="0" borderId="0" xfId="12" applyFont="1" applyFill="1" applyAlignment="1">
      <alignment horizontal="left" indent="2"/>
    </xf>
    <xf numFmtId="10" fontId="14" fillId="0" borderId="0" xfId="3" applyNumberFormat="1" applyFont="1" applyFill="1"/>
    <xf numFmtId="10" fontId="11" fillId="0" borderId="0" xfId="2" applyNumberFormat="1" applyFill="1">
      <alignment vertical="center"/>
    </xf>
    <xf numFmtId="10" fontId="0" fillId="0" borderId="0" xfId="0" applyNumberFormat="1" applyFill="1"/>
    <xf numFmtId="10" fontId="0" fillId="0" borderId="0" xfId="4" applyNumberFormat="1" applyFont="1" applyFill="1"/>
    <xf numFmtId="0" fontId="11" fillId="0" borderId="0" xfId="2" applyFill="1" applyAlignment="1">
      <alignment horizontal="right" vertical="center"/>
    </xf>
    <xf numFmtId="0" fontId="14" fillId="2" borderId="0" xfId="7" applyFont="1" applyFill="1" applyAlignment="1">
      <alignment horizontal="left"/>
    </xf>
    <xf numFmtId="3" fontId="14" fillId="7" borderId="0" xfId="10" applyNumberFormat="1" applyFont="1" applyFill="1" applyBorder="1" applyAlignment="1">
      <alignment horizontal="left" vertical="center"/>
    </xf>
    <xf numFmtId="3" fontId="14" fillId="2" borderId="0" xfId="10" applyNumberFormat="1" applyFont="1" applyFill="1" applyBorder="1" applyAlignment="1">
      <alignment horizontal="left"/>
    </xf>
    <xf numFmtId="0" fontId="20" fillId="2" borderId="0" xfId="7" applyFont="1" applyFill="1" applyAlignment="1">
      <alignment horizontal="left"/>
    </xf>
    <xf numFmtId="0" fontId="11" fillId="2" borderId="0" xfId="2" applyFill="1" applyBorder="1" applyAlignment="1">
      <alignment horizontal="center" vertical="center"/>
    </xf>
    <xf numFmtId="0" fontId="11" fillId="7" borderId="0" xfId="2" applyFill="1" applyBorder="1">
      <alignment vertical="center"/>
    </xf>
    <xf numFmtId="0" fontId="0" fillId="0" borderId="0" xfId="0" applyFill="1" applyAlignment="1">
      <alignment horizontal="left" indent="4"/>
    </xf>
    <xf numFmtId="0" fontId="0" fillId="0" borderId="0" xfId="0" applyFill="1" applyAlignment="1">
      <alignment horizontal="left" wrapText="1" indent="4"/>
    </xf>
    <xf numFmtId="0" fontId="11" fillId="0" borderId="0" xfId="2" applyBorder="1">
      <alignment vertical="center"/>
    </xf>
    <xf numFmtId="0" fontId="14" fillId="0" borderId="0" xfId="2" applyFont="1" applyBorder="1">
      <alignment vertical="center"/>
    </xf>
    <xf numFmtId="0" fontId="0" fillId="2" borderId="0" xfId="2" applyFont="1" applyFill="1" applyBorder="1">
      <alignment vertical="center"/>
    </xf>
    <xf numFmtId="0" fontId="0" fillId="0" borderId="0" xfId="0" applyFill="1" applyAlignment="1">
      <alignment horizontal="left" vertical="center" indent="2"/>
    </xf>
    <xf numFmtId="0" fontId="14" fillId="0" borderId="0" xfId="0" applyFont="1" applyFill="1" applyAlignment="1">
      <alignment horizontal="left" indent="2"/>
    </xf>
    <xf numFmtId="171" fontId="14" fillId="0" borderId="0" xfId="0" applyNumberFormat="1" applyFont="1" applyFill="1" applyAlignment="1">
      <alignment horizontal="right"/>
    </xf>
    <xf numFmtId="172" fontId="14" fillId="0" borderId="0" xfId="0" applyNumberFormat="1" applyFont="1" applyFill="1" applyAlignment="1">
      <alignment horizontal="right"/>
    </xf>
    <xf numFmtId="0" fontId="20" fillId="0" borderId="0" xfId="0" applyFont="1" applyFill="1" applyAlignment="1">
      <alignment horizontal="left" indent="2"/>
    </xf>
    <xf numFmtId="0" fontId="20" fillId="0" borderId="0" xfId="0" applyFont="1"/>
    <xf numFmtId="171" fontId="20" fillId="0" borderId="0" xfId="0" applyNumberFormat="1" applyFont="1" applyFill="1" applyAlignment="1">
      <alignment horizontal="right"/>
    </xf>
    <xf numFmtId="0" fontId="14" fillId="0" borderId="0" xfId="2" applyFont="1" applyAlignment="1">
      <alignment horizontal="center" vertical="center"/>
    </xf>
    <xf numFmtId="0" fontId="14" fillId="2" borderId="0" xfId="2" applyFont="1" applyFill="1">
      <alignment vertical="center"/>
    </xf>
    <xf numFmtId="0" fontId="14" fillId="0" borderId="0" xfId="2" applyFont="1" applyFill="1" applyAlignment="1">
      <alignment horizontal="left" vertical="center" indent="2"/>
    </xf>
    <xf numFmtId="0" fontId="14" fillId="0" borderId="0" xfId="2" applyFont="1" applyFill="1" applyAlignment="1">
      <alignment horizontal="left" vertical="center" wrapText="1" indent="2"/>
    </xf>
    <xf numFmtId="0" fontId="20" fillId="2" borderId="0" xfId="2" applyFont="1" applyFill="1">
      <alignment vertical="center"/>
    </xf>
    <xf numFmtId="1" fontId="14" fillId="0" borderId="0" xfId="0" applyNumberFormat="1" applyFont="1" applyFill="1" applyAlignment="1">
      <alignment horizontal="right"/>
    </xf>
    <xf numFmtId="0" fontId="14" fillId="7" borderId="0" xfId="2" applyFont="1" applyFill="1">
      <alignment vertical="center"/>
    </xf>
    <xf numFmtId="10" fontId="14" fillId="0" borderId="0" xfId="4" applyNumberFormat="1" applyFont="1" applyFill="1" applyAlignment="1">
      <alignment horizontal="right" vertical="center"/>
    </xf>
    <xf numFmtId="0" fontId="14" fillId="0" borderId="2" xfId="2" applyFont="1" applyBorder="1" applyAlignment="1">
      <alignment horizontal="center" vertical="center"/>
    </xf>
    <xf numFmtId="10" fontId="14" fillId="0" borderId="0" xfId="2" applyNumberFormat="1" applyFont="1" applyFill="1" applyAlignment="1">
      <alignment horizontal="left" vertical="center" indent="2"/>
    </xf>
    <xf numFmtId="0" fontId="20" fillId="0" borderId="0" xfId="2" applyFont="1" applyFill="1" applyAlignment="1">
      <alignment horizontal="left" vertical="center" indent="2"/>
    </xf>
    <xf numFmtId="0" fontId="20" fillId="0" borderId="0" xfId="2" applyFont="1" applyAlignment="1">
      <alignment horizontal="center" vertical="center"/>
    </xf>
    <xf numFmtId="0" fontId="14" fillId="0" borderId="0" xfId="2" applyFont="1" applyFill="1" applyAlignment="1">
      <alignment horizontal="center" vertical="center"/>
    </xf>
    <xf numFmtId="0" fontId="14" fillId="0" borderId="0" xfId="2" applyFont="1" applyAlignment="1">
      <alignment horizontal="left" vertical="center" indent="2"/>
    </xf>
    <xf numFmtId="1" fontId="14" fillId="0" borderId="0" xfId="2" applyNumberFormat="1" applyFont="1">
      <alignment vertical="center"/>
    </xf>
    <xf numFmtId="1" fontId="14" fillId="0" borderId="0" xfId="4" applyNumberFormat="1" applyFont="1" applyFill="1" applyAlignment="1">
      <alignment vertical="center"/>
    </xf>
    <xf numFmtId="14" fontId="14" fillId="0" borderId="0" xfId="2" applyNumberFormat="1" applyFont="1">
      <alignment vertical="center"/>
    </xf>
    <xf numFmtId="0" fontId="14" fillId="0" borderId="0" xfId="2" applyFont="1" applyFill="1" applyAlignment="1">
      <alignment horizontal="left" vertical="center"/>
    </xf>
    <xf numFmtId="0" fontId="20" fillId="0" borderId="0" xfId="2" applyFont="1" applyFill="1" applyAlignment="1">
      <alignment vertical="center" wrapText="1"/>
    </xf>
    <xf numFmtId="0" fontId="20" fillId="0" borderId="0" xfId="2" applyFont="1" applyFill="1" applyAlignment="1">
      <alignment horizontal="right" vertical="center" wrapText="1"/>
    </xf>
    <xf numFmtId="0" fontId="20" fillId="0" borderId="0" xfId="2" applyFont="1" applyAlignment="1">
      <alignment horizontal="right" vertical="center" wrapText="1"/>
    </xf>
    <xf numFmtId="0" fontId="14" fillId="0" borderId="0" xfId="2" applyFont="1" applyAlignment="1">
      <alignment horizontal="right" vertical="center"/>
    </xf>
    <xf numFmtId="0" fontId="20" fillId="0" borderId="0" xfId="2" applyFont="1" applyFill="1" applyAlignment="1">
      <alignment horizontal="left" vertical="center"/>
    </xf>
    <xf numFmtId="172" fontId="20" fillId="0" borderId="0" xfId="2" applyNumberFormat="1" applyFont="1" applyFill="1">
      <alignment vertical="center"/>
    </xf>
    <xf numFmtId="0" fontId="14" fillId="0" borderId="1" xfId="2" applyFont="1" applyBorder="1">
      <alignment vertical="center"/>
    </xf>
    <xf numFmtId="0" fontId="14" fillId="0" borderId="1" xfId="2" applyFont="1" applyFill="1" applyBorder="1">
      <alignment vertical="center"/>
    </xf>
    <xf numFmtId="0" fontId="14" fillId="0" borderId="0" xfId="2" applyFont="1" applyAlignment="1">
      <alignment horizontal="left" vertical="center" wrapText="1" indent="2"/>
    </xf>
    <xf numFmtId="0" fontId="14" fillId="7" borderId="0" xfId="2" applyFont="1" applyFill="1" applyAlignment="1">
      <alignment vertical="center"/>
    </xf>
    <xf numFmtId="0" fontId="14" fillId="2" borderId="0" xfId="0" applyFont="1" applyFill="1"/>
    <xf numFmtId="171" fontId="14" fillId="0" borderId="0" xfId="2" applyNumberFormat="1" applyFont="1" applyFill="1" applyAlignment="1">
      <alignment horizontal="right" vertical="center"/>
    </xf>
    <xf numFmtId="0" fontId="20" fillId="0" borderId="0" xfId="2" applyFont="1" applyFill="1" applyAlignment="1">
      <alignment horizontal="center" vertical="center"/>
    </xf>
    <xf numFmtId="0" fontId="14" fillId="0" borderId="2" xfId="2" applyFont="1" applyFill="1" applyBorder="1" applyAlignment="1">
      <alignment horizontal="center" vertical="center"/>
    </xf>
    <xf numFmtId="0" fontId="14" fillId="0" borderId="0" xfId="2" applyFont="1" applyFill="1" applyAlignment="1">
      <alignment vertical="center" wrapText="1"/>
    </xf>
    <xf numFmtId="0" fontId="14" fillId="0" borderId="0" xfId="2" applyFont="1" applyFill="1" applyBorder="1">
      <alignment vertical="center"/>
    </xf>
    <xf numFmtId="0" fontId="20" fillId="0" borderId="0" xfId="2" applyFont="1" applyFill="1" applyAlignment="1">
      <alignment horizontal="left" vertical="center" wrapText="1" indent="2"/>
    </xf>
    <xf numFmtId="0" fontId="14" fillId="0" borderId="0" xfId="4" applyNumberFormat="1" applyFont="1" applyFill="1" applyAlignment="1">
      <alignment vertical="center"/>
    </xf>
    <xf numFmtId="9" fontId="14" fillId="0" borderId="0" xfId="4" applyFont="1" applyAlignment="1">
      <alignment vertical="center"/>
    </xf>
    <xf numFmtId="0" fontId="14" fillId="0" borderId="2" xfId="2" applyFont="1" applyFill="1" applyBorder="1" applyAlignment="1">
      <alignment vertical="center" wrapText="1"/>
    </xf>
    <xf numFmtId="0" fontId="20" fillId="0" borderId="2" xfId="2" applyFont="1" applyFill="1" applyBorder="1" applyAlignment="1">
      <alignment horizontal="right" vertical="center"/>
    </xf>
    <xf numFmtId="0" fontId="11" fillId="0" borderId="0" xfId="25">
      <alignment vertical="center"/>
    </xf>
    <xf numFmtId="0" fontId="16" fillId="0" borderId="0" xfId="20" applyFont="1" applyAlignment="1">
      <alignment vertical="center"/>
    </xf>
    <xf numFmtId="0" fontId="0" fillId="0" borderId="2" xfId="0" applyFill="1" applyBorder="1" applyAlignment="1">
      <alignment vertical="center"/>
    </xf>
    <xf numFmtId="0" fontId="14" fillId="2" borderId="0" xfId="20" applyFont="1" applyFill="1"/>
    <xf numFmtId="0" fontId="11" fillId="0" borderId="0" xfId="2" applyAlignment="1">
      <alignment horizontal="left" vertical="center" wrapText="1" indent="2"/>
    </xf>
    <xf numFmtId="0" fontId="14" fillId="0" borderId="0" xfId="2" applyFont="1" applyFill="1" applyBorder="1" applyAlignment="1">
      <alignment horizontal="right" vertical="center"/>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48" fillId="0" borderId="0" xfId="2" applyFont="1" applyBorder="1">
      <alignment vertical="center"/>
    </xf>
    <xf numFmtId="0" fontId="48" fillId="0" borderId="0" xfId="2" applyFont="1" applyFill="1" applyBorder="1">
      <alignment vertical="center"/>
    </xf>
    <xf numFmtId="0" fontId="48" fillId="0" borderId="11" xfId="2" applyFont="1" applyFill="1" applyBorder="1" applyAlignment="1">
      <alignment horizontal="left" vertical="center" wrapText="1" indent="2"/>
    </xf>
    <xf numFmtId="0" fontId="48" fillId="0" borderId="11" xfId="2" applyFont="1" applyBorder="1">
      <alignment vertical="center"/>
    </xf>
    <xf numFmtId="0" fontId="48" fillId="0" borderId="11" xfId="2" applyFont="1" applyBorder="1" applyAlignment="1">
      <alignment horizontal="center" vertical="center"/>
    </xf>
    <xf numFmtId="0" fontId="48" fillId="0" borderId="11" xfId="2" applyFont="1" applyFill="1" applyBorder="1">
      <alignment vertical="center"/>
    </xf>
    <xf numFmtId="10" fontId="48" fillId="0" borderId="11" xfId="4" applyNumberFormat="1" applyFont="1" applyFill="1" applyBorder="1" applyAlignment="1">
      <alignment vertical="center"/>
    </xf>
    <xf numFmtId="0" fontId="48" fillId="0" borderId="12" xfId="2" applyFont="1" applyFill="1" applyBorder="1" applyAlignment="1">
      <alignment horizontal="left" vertical="center" wrapText="1" indent="2"/>
    </xf>
    <xf numFmtId="0" fontId="48" fillId="0" borderId="12" xfId="2" applyFont="1" applyBorder="1">
      <alignment vertical="center"/>
    </xf>
    <xf numFmtId="0" fontId="48" fillId="0" borderId="12" xfId="2" applyFont="1" applyBorder="1" applyAlignment="1">
      <alignment horizontal="center" vertical="center"/>
    </xf>
    <xf numFmtId="0" fontId="48" fillId="0" borderId="12" xfId="2" applyFont="1" applyFill="1" applyBorder="1">
      <alignment vertical="center"/>
    </xf>
    <xf numFmtId="10" fontId="48" fillId="0" borderId="12" xfId="4" applyNumberFormat="1" applyFont="1" applyFill="1" applyBorder="1" applyAlignment="1">
      <alignment vertical="center"/>
    </xf>
    <xf numFmtId="0" fontId="49" fillId="0" borderId="0" xfId="2" applyNumberFormat="1" applyFont="1" applyFill="1" applyBorder="1" applyAlignment="1">
      <alignment vertical="center"/>
    </xf>
    <xf numFmtId="0" fontId="50" fillId="0" borderId="0" xfId="2" applyNumberFormat="1" applyFont="1" applyFill="1" applyBorder="1" applyAlignment="1">
      <alignment vertical="center"/>
    </xf>
    <xf numFmtId="0" fontId="49" fillId="0" borderId="0" xfId="2" applyNumberFormat="1" applyFont="1" applyFill="1" applyBorder="1" applyAlignment="1">
      <alignment horizontal="right" vertical="center"/>
    </xf>
    <xf numFmtId="0" fontId="49" fillId="10" borderId="0" xfId="2" applyNumberFormat="1" applyFont="1" applyFill="1" applyBorder="1" applyAlignment="1">
      <alignment vertical="center"/>
    </xf>
    <xf numFmtId="171" fontId="49" fillId="0" borderId="0" xfId="2" applyNumberFormat="1" applyFont="1" applyFill="1" applyBorder="1" applyAlignment="1">
      <alignment vertical="center"/>
    </xf>
    <xf numFmtId="171" fontId="50" fillId="0" borderId="0" xfId="2" applyNumberFormat="1" applyFont="1" applyFill="1" applyBorder="1" applyAlignment="1">
      <alignment vertical="center"/>
    </xf>
    <xf numFmtId="0" fontId="49" fillId="0" borderId="12" xfId="2" applyNumberFormat="1" applyFont="1" applyFill="1" applyBorder="1" applyAlignment="1">
      <alignment vertical="center"/>
    </xf>
    <xf numFmtId="0" fontId="48" fillId="0" borderId="11" xfId="2" applyFont="1" applyFill="1" applyBorder="1" applyAlignment="1">
      <alignment horizontal="left" vertical="center" indent="2"/>
    </xf>
    <xf numFmtId="1" fontId="48" fillId="0" borderId="11" xfId="2" applyNumberFormat="1" applyFont="1" applyFill="1" applyBorder="1">
      <alignment vertical="center"/>
    </xf>
    <xf numFmtId="1" fontId="48" fillId="0" borderId="12" xfId="2" applyNumberFormat="1" applyFont="1" applyFill="1" applyBorder="1">
      <alignment vertical="center"/>
    </xf>
    <xf numFmtId="1" fontId="48" fillId="0" borderId="0" xfId="0" applyNumberFormat="1" applyFont="1" applyFill="1" applyBorder="1" applyAlignment="1">
      <alignment horizontal="right"/>
    </xf>
    <xf numFmtId="0" fontId="20" fillId="0" borderId="0" xfId="2" applyFont="1" applyBorder="1">
      <alignment vertical="center"/>
    </xf>
    <xf numFmtId="0" fontId="20" fillId="0" borderId="0" xfId="2" applyFont="1" applyFill="1" applyBorder="1">
      <alignment vertical="center"/>
    </xf>
    <xf numFmtId="0" fontId="11" fillId="11" borderId="0" xfId="2" applyFill="1">
      <alignment vertical="center"/>
    </xf>
    <xf numFmtId="3" fontId="48" fillId="0" borderId="11" xfId="2" applyNumberFormat="1" applyFont="1" applyFill="1" applyBorder="1">
      <alignment vertical="center"/>
    </xf>
    <xf numFmtId="3" fontId="48" fillId="0" borderId="12" xfId="2" applyNumberFormat="1" applyFont="1" applyFill="1" applyBorder="1">
      <alignment vertical="center"/>
    </xf>
    <xf numFmtId="1" fontId="14" fillId="0" borderId="0" xfId="2" applyNumberFormat="1" applyFont="1" applyFill="1" applyBorder="1">
      <alignment vertical="center"/>
    </xf>
    <xf numFmtId="0" fontId="16" fillId="0" borderId="0" xfId="0" applyFont="1" applyFill="1" applyAlignment="1">
      <alignment horizontal="left"/>
    </xf>
    <xf numFmtId="0" fontId="13" fillId="0" borderId="0" xfId="0" applyFont="1" applyFill="1" applyAlignment="1">
      <alignment horizontal="left" vertical="center"/>
    </xf>
    <xf numFmtId="0" fontId="14" fillId="0" borderId="0" xfId="2" applyFont="1" applyFill="1" applyAlignment="1">
      <alignment horizontal="left" vertical="center" indent="1"/>
    </xf>
    <xf numFmtId="0" fontId="14" fillId="0" borderId="0" xfId="2" applyFont="1" applyFill="1">
      <alignment vertical="center"/>
    </xf>
    <xf numFmtId="0" fontId="14" fillId="0" borderId="0" xfId="2" applyFont="1" applyFill="1" applyAlignment="1">
      <alignment horizontal="center" vertical="center"/>
    </xf>
    <xf numFmtId="0" fontId="14" fillId="0" borderId="0" xfId="2" applyFont="1" applyFill="1">
      <alignment vertical="center"/>
    </xf>
    <xf numFmtId="1" fontId="48" fillId="0" borderId="0" xfId="2" applyNumberFormat="1" applyFont="1" applyFill="1" applyBorder="1">
      <alignment vertical="center"/>
    </xf>
    <xf numFmtId="1" fontId="48" fillId="0" borderId="2" xfId="2" applyNumberFormat="1" applyFont="1" applyFill="1" applyBorder="1">
      <alignment vertical="center"/>
    </xf>
    <xf numFmtId="0" fontId="49" fillId="0" borderId="2" xfId="2" applyNumberFormat="1" applyFont="1" applyFill="1" applyBorder="1" applyAlignment="1">
      <alignment vertical="center"/>
    </xf>
    <xf numFmtId="1" fontId="14" fillId="0" borderId="0" xfId="0" applyNumberFormat="1" applyFont="1" applyFill="1" applyBorder="1" applyAlignment="1">
      <alignment horizontal="right"/>
    </xf>
    <xf numFmtId="3" fontId="14" fillId="0" borderId="0" xfId="2" applyNumberFormat="1" applyFont="1" applyFill="1" applyBorder="1">
      <alignment vertical="center"/>
    </xf>
    <xf numFmtId="0" fontId="48" fillId="0" borderId="12" xfId="2" applyFont="1" applyFill="1" applyBorder="1" applyAlignment="1">
      <alignment horizontal="left" vertical="center" indent="2"/>
    </xf>
    <xf numFmtId="0" fontId="20" fillId="0" borderId="0" xfId="2" applyFont="1" applyFill="1" applyBorder="1" applyAlignment="1">
      <alignment horizontal="right" vertical="center" wrapText="1"/>
    </xf>
    <xf numFmtId="0" fontId="20" fillId="0" borderId="0" xfId="2" applyFont="1" applyBorder="1" applyAlignment="1">
      <alignment horizontal="right" vertical="center" wrapText="1"/>
    </xf>
    <xf numFmtId="0" fontId="14" fillId="0" borderId="0" xfId="0" applyFont="1" applyBorder="1"/>
    <xf numFmtId="0" fontId="20" fillId="2" borderId="0" xfId="2" applyFont="1" applyFill="1" applyBorder="1">
      <alignment vertical="center"/>
    </xf>
    <xf numFmtId="0" fontId="14" fillId="0" borderId="0" xfId="0" applyNumberFormat="1" applyFont="1" applyFill="1" applyAlignment="1">
      <alignment horizontal="right"/>
    </xf>
    <xf numFmtId="0" fontId="14" fillId="2" borderId="0" xfId="0" quotePrefix="1" applyFont="1" applyFill="1"/>
    <xf numFmtId="0" fontId="0" fillId="0" borderId="0" xfId="2" applyFont="1">
      <alignment vertical="center"/>
    </xf>
    <xf numFmtId="0" fontId="14" fillId="0" borderId="0" xfId="4" applyNumberFormat="1" applyFont="1" applyFill="1" applyAlignment="1">
      <alignment horizontal="right" vertical="center"/>
    </xf>
    <xf numFmtId="0" fontId="12" fillId="0" borderId="0" xfId="2" applyFont="1">
      <alignment vertical="center"/>
    </xf>
    <xf numFmtId="0" fontId="52" fillId="0" borderId="11" xfId="0" applyFont="1" applyBorder="1"/>
    <xf numFmtId="0" fontId="52" fillId="0" borderId="12" xfId="0" applyFont="1" applyBorder="1"/>
    <xf numFmtId="0" fontId="14" fillId="0" borderId="0" xfId="2" applyFont="1" applyFill="1" applyAlignment="1">
      <alignment horizontal="center" vertical="center"/>
    </xf>
    <xf numFmtId="0" fontId="14" fillId="0" borderId="0" xfId="2" applyFont="1" applyFill="1">
      <alignment vertical="center"/>
    </xf>
    <xf numFmtId="0" fontId="11" fillId="0" borderId="0" xfId="2" applyAlignment="1">
      <alignment horizontal="left" vertical="center" indent="1"/>
    </xf>
    <xf numFmtId="0" fontId="41" fillId="0" borderId="0" xfId="2" applyFont="1" applyAlignment="1">
      <alignment horizontal="left" vertical="center" indent="2"/>
    </xf>
    <xf numFmtId="0" fontId="52" fillId="0" borderId="11" xfId="2" applyFont="1" applyBorder="1">
      <alignment vertical="center"/>
    </xf>
    <xf numFmtId="0" fontId="52" fillId="0" borderId="11" xfId="2" applyFont="1" applyBorder="1" applyAlignment="1">
      <alignment horizontal="center" vertical="center"/>
    </xf>
    <xf numFmtId="0" fontId="52" fillId="0" borderId="12" xfId="2" applyFont="1" applyBorder="1">
      <alignment vertical="center"/>
    </xf>
    <xf numFmtId="0" fontId="52" fillId="0" borderId="12" xfId="2" applyFont="1" applyBorder="1" applyAlignment="1">
      <alignment horizontal="center" vertical="center"/>
    </xf>
    <xf numFmtId="0" fontId="16" fillId="0" borderId="0" xfId="0" applyFont="1" applyFill="1" applyAlignment="1">
      <alignment horizontal="center"/>
    </xf>
    <xf numFmtId="0" fontId="13" fillId="0" borderId="0" xfId="0" applyFont="1" applyFill="1" applyAlignment="1">
      <alignment horizontal="center" vertical="center"/>
    </xf>
    <xf numFmtId="0" fontId="12" fillId="0" borderId="0" xfId="2" applyFont="1" applyAlignment="1">
      <alignment horizontal="center" vertical="center"/>
    </xf>
    <xf numFmtId="0" fontId="49" fillId="0" borderId="0" xfId="2" applyNumberFormat="1" applyFont="1" applyFill="1" applyBorder="1" applyAlignment="1">
      <alignment horizontal="left" vertical="center"/>
    </xf>
    <xf numFmtId="0" fontId="11" fillId="0" borderId="0" xfId="2" applyFill="1" applyBorder="1" applyAlignment="1">
      <alignment horizontal="left" vertical="center"/>
    </xf>
    <xf numFmtId="0" fontId="49" fillId="0" borderId="13" xfId="2" applyNumberFormat="1" applyFont="1" applyFill="1" applyBorder="1" applyAlignment="1">
      <alignment horizontal="left" vertical="center"/>
    </xf>
    <xf numFmtId="0" fontId="49" fillId="0" borderId="0" xfId="0" applyNumberFormat="1" applyFont="1" applyFill="1" applyBorder="1" applyAlignment="1"/>
    <xf numFmtId="0" fontId="50" fillId="0" borderId="13" xfId="2" applyNumberFormat="1" applyFont="1" applyFill="1" applyBorder="1" applyAlignment="1">
      <alignment horizontal="left" vertical="center"/>
    </xf>
    <xf numFmtId="10" fontId="14" fillId="0" borderId="0" xfId="4" applyNumberFormat="1" applyFont="1" applyFill="1" applyBorder="1" applyAlignment="1">
      <alignment vertical="center"/>
    </xf>
    <xf numFmtId="0" fontId="12" fillId="0" borderId="0" xfId="0" applyFont="1"/>
    <xf numFmtId="0" fontId="11" fillId="0" borderId="0" xfId="2" applyFont="1" applyFill="1" applyBorder="1">
      <alignment vertical="center"/>
    </xf>
    <xf numFmtId="0" fontId="49" fillId="0" borderId="11" xfId="2" applyNumberFormat="1" applyFont="1" applyFill="1" applyBorder="1" applyAlignment="1">
      <alignment horizontal="left" vertical="center"/>
    </xf>
    <xf numFmtId="0" fontId="49" fillId="0" borderId="12" xfId="2" applyNumberFormat="1" applyFont="1" applyFill="1" applyBorder="1" applyAlignment="1">
      <alignment horizontal="left" vertical="center"/>
    </xf>
    <xf numFmtId="170" fontId="11" fillId="0" borderId="0" xfId="4" applyNumberFormat="1" applyFont="1" applyAlignment="1">
      <alignment horizontal="right"/>
    </xf>
    <xf numFmtId="0" fontId="11" fillId="0" borderId="0" xfId="0" applyFont="1"/>
    <xf numFmtId="0" fontId="11" fillId="0" borderId="0" xfId="0" applyFont="1" applyBorder="1"/>
    <xf numFmtId="0" fontId="50" fillId="0" borderId="11" xfId="2" applyNumberFormat="1" applyFont="1" applyFill="1" applyBorder="1" applyAlignment="1">
      <alignment horizontal="left" vertical="center"/>
    </xf>
    <xf numFmtId="0" fontId="50" fillId="0" borderId="12" xfId="2" applyNumberFormat="1" applyFont="1" applyFill="1" applyBorder="1" applyAlignment="1">
      <alignment horizontal="left" vertical="center"/>
    </xf>
    <xf numFmtId="0" fontId="11" fillId="0" borderId="0" xfId="0" applyFont="1" applyAlignment="1">
      <alignment horizontal="left" indent="2"/>
    </xf>
    <xf numFmtId="0" fontId="11" fillId="2" borderId="0" xfId="2" applyFont="1" applyFill="1">
      <alignment vertical="center"/>
    </xf>
    <xf numFmtId="0" fontId="11" fillId="2" borderId="0" xfId="0" applyFont="1" applyFill="1"/>
    <xf numFmtId="0" fontId="14" fillId="2" borderId="0" xfId="2" applyFont="1" applyFill="1" applyAlignment="1">
      <alignment vertical="center"/>
    </xf>
    <xf numFmtId="171" fontId="49" fillId="0" borderId="0" xfId="0" applyNumberFormat="1" applyFont="1" applyFill="1" applyBorder="1" applyAlignment="1"/>
    <xf numFmtId="0" fontId="14" fillId="0" borderId="0" xfId="26" applyFont="1" applyFill="1" applyAlignment="1">
      <alignment horizontal="right" vertical="top"/>
    </xf>
    <xf numFmtId="170" fontId="11" fillId="0" borderId="0" xfId="4" applyNumberFormat="1" applyFill="1" applyAlignment="1">
      <alignment horizontal="right" vertical="center"/>
    </xf>
    <xf numFmtId="170" fontId="11" fillId="0" borderId="0" xfId="4" applyNumberFormat="1" applyFill="1" applyAlignment="1">
      <alignment vertical="center"/>
    </xf>
    <xf numFmtId="171" fontId="49" fillId="0" borderId="0" xfId="2" applyNumberFormat="1" applyFont="1" applyFill="1" applyAlignment="1">
      <alignment vertical="center"/>
    </xf>
    <xf numFmtId="171" fontId="11" fillId="0" borderId="0" xfId="0" applyNumberFormat="1" applyFont="1" applyFill="1"/>
    <xf numFmtId="0" fontId="11" fillId="0" borderId="0" xfId="0" applyFont="1" applyFill="1"/>
    <xf numFmtId="9" fontId="11" fillId="0" borderId="0" xfId="4" applyFont="1" applyFill="1"/>
    <xf numFmtId="0" fontId="11" fillId="0" borderId="0" xfId="2" applyAlignment="1">
      <alignment horizontal="left" vertical="center" wrapText="1" indent="2"/>
    </xf>
    <xf numFmtId="0" fontId="11" fillId="0" borderId="0" xfId="2" applyFill="1" applyAlignment="1">
      <alignment horizontal="left" vertical="center" wrapText="1" indent="2"/>
    </xf>
    <xf numFmtId="0" fontId="20" fillId="0" borderId="0" xfId="2" applyFont="1" applyBorder="1" applyAlignment="1">
      <alignment horizontal="center" vertical="center" wrapText="1"/>
    </xf>
    <xf numFmtId="3" fontId="14" fillId="0" borderId="2" xfId="2" applyNumberFormat="1" applyFont="1" applyFill="1" applyBorder="1">
      <alignment vertical="center"/>
    </xf>
    <xf numFmtId="0" fontId="14" fillId="0" borderId="0" xfId="2" applyFont="1" applyBorder="1" applyAlignment="1">
      <alignment horizontal="right" vertical="center"/>
    </xf>
    <xf numFmtId="10" fontId="48" fillId="0" borderId="0" xfId="4" applyNumberFormat="1" applyFont="1" applyFill="1" applyBorder="1" applyAlignment="1">
      <alignment vertical="center"/>
    </xf>
    <xf numFmtId="171" fontId="14" fillId="0" borderId="0" xfId="2" applyNumberFormat="1" applyFont="1" applyFill="1" applyBorder="1">
      <alignment vertical="center"/>
    </xf>
    <xf numFmtId="10" fontId="14" fillId="0" borderId="0" xfId="4" applyNumberFormat="1" applyFont="1" applyBorder="1" applyAlignment="1">
      <alignment vertical="center"/>
    </xf>
    <xf numFmtId="171" fontId="20" fillId="0" borderId="0" xfId="2" applyNumberFormat="1" applyFont="1" applyFill="1" applyBorder="1">
      <alignment vertical="center"/>
    </xf>
    <xf numFmtId="3" fontId="48" fillId="0" borderId="0" xfId="2" applyNumberFormat="1" applyFont="1" applyFill="1" applyBorder="1">
      <alignment vertical="center"/>
    </xf>
    <xf numFmtId="0" fontId="20" fillId="0" borderId="0" xfId="2" applyFont="1" applyFill="1" applyBorder="1" applyAlignment="1">
      <alignment horizontal="center" vertical="center" wrapText="1"/>
    </xf>
    <xf numFmtId="0" fontId="20" fillId="0" borderId="0" xfId="2" applyFont="1" applyFill="1" applyAlignment="1">
      <alignment vertical="center"/>
    </xf>
    <xf numFmtId="0" fontId="41" fillId="0" borderId="0" xfId="2" applyFont="1" applyFill="1" applyAlignment="1">
      <alignment horizontal="left" vertical="center" indent="2"/>
    </xf>
    <xf numFmtId="0" fontId="14" fillId="0" borderId="9" xfId="2" applyFont="1" applyBorder="1">
      <alignment vertical="center"/>
    </xf>
    <xf numFmtId="9" fontId="20" fillId="0" borderId="0" xfId="4" applyFont="1" applyBorder="1" applyAlignment="1">
      <alignment horizontal="right" vertical="center" wrapText="1"/>
    </xf>
    <xf numFmtId="0" fontId="20" fillId="0" borderId="0" xfId="2" applyFont="1" applyAlignment="1">
      <alignment vertical="center"/>
    </xf>
    <xf numFmtId="0" fontId="48" fillId="0" borderId="0" xfId="2" applyFont="1" applyBorder="1" applyAlignment="1">
      <alignment horizontal="center" vertical="center"/>
    </xf>
    <xf numFmtId="0" fontId="31" fillId="0" borderId="11" xfId="2" applyFont="1" applyFill="1" applyBorder="1" applyAlignment="1">
      <alignment vertical="center" wrapText="1"/>
    </xf>
    <xf numFmtId="0" fontId="48" fillId="0" borderId="11" xfId="4" applyNumberFormat="1" applyFont="1" applyFill="1" applyBorder="1" applyAlignment="1">
      <alignment vertical="center"/>
    </xf>
    <xf numFmtId="0" fontId="31" fillId="0" borderId="12" xfId="2" applyFont="1" applyFill="1" applyBorder="1" applyAlignment="1">
      <alignment vertical="center" wrapText="1"/>
    </xf>
    <xf numFmtId="0" fontId="48" fillId="0" borderId="12" xfId="4" applyNumberFormat="1" applyFont="1" applyFill="1" applyBorder="1" applyAlignment="1">
      <alignment vertical="center"/>
    </xf>
    <xf numFmtId="10" fontId="14" fillId="0" borderId="0" xfId="2" applyNumberFormat="1" applyFont="1" applyFill="1" applyBorder="1">
      <alignment vertical="center"/>
    </xf>
    <xf numFmtId="0" fontId="48" fillId="0" borderId="0" xfId="2" applyFont="1" applyFill="1" applyBorder="1" applyAlignment="1">
      <alignment horizontal="left" vertical="center" wrapText="1" indent="2"/>
    </xf>
    <xf numFmtId="0" fontId="48" fillId="0" borderId="0" xfId="2" applyFont="1" applyFill="1" applyBorder="1" applyAlignment="1">
      <alignment horizontal="center" vertical="center"/>
    </xf>
    <xf numFmtId="0" fontId="14" fillId="2" borderId="0" xfId="2" applyFont="1" applyFill="1" applyBorder="1">
      <alignment vertical="center"/>
    </xf>
    <xf numFmtId="0" fontId="14" fillId="0" borderId="9" xfId="2" applyFont="1" applyFill="1" applyBorder="1">
      <alignment vertical="center"/>
    </xf>
    <xf numFmtId="0" fontId="48" fillId="0" borderId="0" xfId="2" applyFont="1" applyFill="1" applyBorder="1" applyAlignment="1">
      <alignment horizontal="left" vertical="center" indent="2"/>
    </xf>
    <xf numFmtId="172" fontId="50" fillId="0" borderId="0" xfId="2" applyNumberFormat="1" applyFont="1" applyFill="1" applyBorder="1" applyAlignment="1">
      <alignment vertical="center"/>
    </xf>
    <xf numFmtId="170" fontId="11" fillId="0" borderId="0" xfId="4" applyNumberFormat="1" applyFont="1" applyFill="1" applyAlignment="1">
      <alignment horizontal="right"/>
    </xf>
    <xf numFmtId="170" fontId="11" fillId="0" borderId="0" xfId="4" applyNumberFormat="1" applyFont="1" applyFill="1"/>
    <xf numFmtId="0" fontId="11" fillId="0" borderId="0" xfId="2" applyFont="1" applyFill="1" applyBorder="1" applyAlignment="1">
      <alignment horizontal="left" vertical="center"/>
    </xf>
    <xf numFmtId="0" fontId="49" fillId="0" borderId="2" xfId="2" applyNumberFormat="1" applyFont="1" applyFill="1" applyBorder="1" applyAlignment="1">
      <alignment horizontal="left" vertical="center"/>
    </xf>
    <xf numFmtId="170" fontId="49" fillId="0" borderId="0" xfId="4" applyNumberFormat="1" applyFont="1" applyFill="1" applyBorder="1" applyAlignment="1">
      <alignment horizontal="right"/>
    </xf>
    <xf numFmtId="0" fontId="0" fillId="2" borderId="0" xfId="0" applyFont="1" applyFill="1"/>
    <xf numFmtId="0" fontId="20" fillId="0" borderId="0" xfId="12" applyFont="1" applyFill="1"/>
    <xf numFmtId="0" fontId="11" fillId="0" borderId="0" xfId="0" applyFont="1" applyFill="1" applyAlignment="1">
      <alignment horizontal="left" indent="2"/>
    </xf>
    <xf numFmtId="10" fontId="0" fillId="0" borderId="0" xfId="0" applyNumberFormat="1" applyAlignment="1">
      <alignment vertical="center"/>
    </xf>
    <xf numFmtId="0" fontId="52" fillId="0" borderId="11" xfId="2" applyFont="1" applyFill="1" applyBorder="1" applyAlignment="1">
      <alignment vertical="center" wrapText="1"/>
    </xf>
    <xf numFmtId="10" fontId="52" fillId="0" borderId="11" xfId="4" applyNumberFormat="1" applyFont="1" applyFill="1" applyBorder="1" applyAlignment="1">
      <alignment vertical="center"/>
    </xf>
    <xf numFmtId="0" fontId="52" fillId="0" borderId="12" xfId="2" applyFont="1" applyFill="1" applyBorder="1" applyAlignment="1">
      <alignment vertical="center" wrapText="1"/>
    </xf>
    <xf numFmtId="10" fontId="52" fillId="0" borderId="12" xfId="4" applyNumberFormat="1" applyFont="1" applyFill="1" applyBorder="1" applyAlignment="1">
      <alignment vertical="center"/>
    </xf>
    <xf numFmtId="3" fontId="49" fillId="0" borderId="0" xfId="4" applyNumberFormat="1" applyFont="1" applyFill="1" applyAlignment="1">
      <alignment vertical="center"/>
    </xf>
    <xf numFmtId="3" fontId="49" fillId="0" borderId="0" xfId="2" applyNumberFormat="1" applyFont="1" applyAlignment="1">
      <alignment vertical="center"/>
    </xf>
    <xf numFmtId="3" fontId="49" fillId="0" borderId="0" xfId="0" applyNumberFormat="1" applyFont="1" applyAlignment="1">
      <alignment vertical="center"/>
    </xf>
    <xf numFmtId="3" fontId="49" fillId="0" borderId="0" xfId="4" applyNumberFormat="1" applyFont="1" applyFill="1" applyAlignment="1">
      <alignment horizontal="right" vertical="center"/>
    </xf>
    <xf numFmtId="3" fontId="49" fillId="0" borderId="0" xfId="0" applyNumberFormat="1" applyFont="1" applyAlignment="1">
      <alignment horizontal="right" vertical="center"/>
    </xf>
    <xf numFmtId="3" fontId="49" fillId="0" borderId="0" xfId="2" applyNumberFormat="1" applyFont="1" applyAlignment="1">
      <alignment horizontal="right" vertical="center"/>
    </xf>
    <xf numFmtId="0" fontId="11" fillId="0" borderId="0" xfId="2" applyAlignment="1">
      <alignment horizontal="right" vertical="center" wrapText="1"/>
    </xf>
    <xf numFmtId="179" fontId="0" fillId="0" borderId="0" xfId="0" applyNumberFormat="1" applyFill="1"/>
    <xf numFmtId="0" fontId="37" fillId="0" borderId="0" xfId="0" applyFont="1" applyFill="1"/>
    <xf numFmtId="164" fontId="19" fillId="0" borderId="0" xfId="0" applyNumberFormat="1" applyFont="1" applyFill="1"/>
    <xf numFmtId="0" fontId="19" fillId="0" borderId="0" xfId="0" applyFont="1" applyFill="1"/>
    <xf numFmtId="0" fontId="46" fillId="0" borderId="0" xfId="0" applyFont="1"/>
    <xf numFmtId="0" fontId="47" fillId="0" borderId="0" xfId="0" applyFont="1"/>
    <xf numFmtId="0" fontId="0" fillId="0" borderId="0" xfId="0" applyAlignment="1">
      <alignment horizontal="left" indent="2"/>
    </xf>
    <xf numFmtId="14" fontId="11" fillId="0" borderId="2" xfId="2" applyNumberFormat="1" applyBorder="1" applyAlignment="1">
      <alignment horizontal="center" vertical="center"/>
    </xf>
    <xf numFmtId="14" fontId="11" fillId="0" borderId="2" xfId="2" applyNumberFormat="1" applyBorder="1">
      <alignment vertical="center"/>
    </xf>
    <xf numFmtId="0" fontId="14" fillId="0" borderId="2" xfId="0" applyFont="1" applyBorder="1" applyAlignment="1">
      <alignment horizontal="right"/>
    </xf>
    <xf numFmtId="14" fontId="11" fillId="0" borderId="0" xfId="2" applyNumberFormat="1" applyBorder="1" applyAlignment="1">
      <alignment horizontal="center" vertical="center"/>
    </xf>
    <xf numFmtId="14" fontId="11" fillId="0" borderId="0" xfId="2" applyNumberFormat="1" applyBorder="1">
      <alignment vertical="center"/>
    </xf>
    <xf numFmtId="0" fontId="14" fillId="0" borderId="0" xfId="0" applyFont="1" applyBorder="1" applyAlignment="1">
      <alignment horizontal="right"/>
    </xf>
    <xf numFmtId="167" fontId="57" fillId="0" borderId="0" xfId="2" applyNumberFormat="1" applyFont="1" applyFill="1" applyBorder="1" applyAlignment="1">
      <alignment horizontal="left" vertical="center"/>
    </xf>
    <xf numFmtId="0" fontId="20" fillId="0" borderId="0" xfId="7" applyFont="1" applyFill="1" applyAlignment="1">
      <alignment horizontal="right"/>
    </xf>
    <xf numFmtId="0" fontId="14" fillId="2" borderId="0" xfId="6" applyFont="1" applyFill="1"/>
    <xf numFmtId="10" fontId="11" fillId="0" borderId="0" xfId="2" applyNumberFormat="1">
      <alignment vertical="center"/>
    </xf>
    <xf numFmtId="0" fontId="20" fillId="0" borderId="0" xfId="7" applyFont="1"/>
    <xf numFmtId="0" fontId="20" fillId="0" borderId="1" xfId="7" applyFont="1" applyBorder="1"/>
    <xf numFmtId="0" fontId="14" fillId="0" borderId="3" xfId="7" applyFont="1" applyBorder="1"/>
    <xf numFmtId="0" fontId="14" fillId="0" borderId="7" xfId="7" applyFont="1" applyBorder="1"/>
    <xf numFmtId="0" fontId="14" fillId="0" borderId="6" xfId="7" applyFont="1" applyBorder="1"/>
    <xf numFmtId="0" fontId="20" fillId="0" borderId="0" xfId="7" applyFont="1" applyAlignment="1">
      <alignment horizontal="center"/>
    </xf>
    <xf numFmtId="0" fontId="20" fillId="0" borderId="0" xfId="7" applyFont="1" applyAlignment="1">
      <alignment horizontal="center" vertical="center"/>
    </xf>
    <xf numFmtId="0" fontId="20" fillId="0" borderId="8" xfId="7" applyFont="1" applyBorder="1" applyAlignment="1">
      <alignment horizontal="center" vertical="center" wrapText="1"/>
    </xf>
    <xf numFmtId="0" fontId="20" fillId="0" borderId="9" xfId="7" applyFont="1" applyBorder="1" applyAlignment="1">
      <alignment horizontal="center" vertical="center" wrapText="1"/>
    </xf>
    <xf numFmtId="0" fontId="20" fillId="0" borderId="10" xfId="7" applyFont="1" applyBorder="1" applyAlignment="1">
      <alignment horizontal="center" vertical="center" wrapText="1"/>
    </xf>
    <xf numFmtId="0" fontId="20" fillId="0" borderId="0" xfId="7" applyFont="1" applyAlignment="1">
      <alignment horizontal="center" vertical="center" wrapText="1"/>
    </xf>
    <xf numFmtId="0" fontId="14" fillId="0" borderId="2" xfId="7" applyFont="1" applyBorder="1"/>
    <xf numFmtId="0" fontId="20" fillId="0" borderId="7" xfId="7" applyFont="1" applyBorder="1" applyAlignment="1">
      <alignment horizontal="center" wrapText="1"/>
    </xf>
    <xf numFmtId="0" fontId="20" fillId="0" borderId="0" xfId="7" applyFont="1" applyAlignment="1">
      <alignment horizontal="center" wrapText="1"/>
    </xf>
    <xf numFmtId="0" fontId="20" fillId="0" borderId="6" xfId="7" applyFont="1" applyBorder="1" applyAlignment="1">
      <alignment horizontal="center" wrapText="1"/>
    </xf>
    <xf numFmtId="0" fontId="20" fillId="0" borderId="8" xfId="7" applyFont="1" applyBorder="1" applyAlignment="1">
      <alignment horizontal="center" wrapText="1"/>
    </xf>
    <xf numFmtId="0" fontId="20" fillId="0" borderId="9" xfId="7" applyFont="1" applyBorder="1" applyAlignment="1">
      <alignment horizontal="center" wrapText="1"/>
    </xf>
    <xf numFmtId="0" fontId="20" fillId="0" borderId="10" xfId="7" applyFont="1" applyBorder="1" applyAlignment="1">
      <alignment horizontal="center" wrapText="1"/>
    </xf>
    <xf numFmtId="0" fontId="60" fillId="0" borderId="0" xfId="7" applyFont="1"/>
    <xf numFmtId="180" fontId="14" fillId="0" borderId="0" xfId="7" applyNumberFormat="1" applyFont="1"/>
    <xf numFmtId="180" fontId="14" fillId="0" borderId="0" xfId="10" applyNumberFormat="1" applyFont="1" applyFill="1" applyBorder="1" applyAlignment="1">
      <alignment horizontal="center" wrapText="1"/>
    </xf>
    <xf numFmtId="1" fontId="14" fillId="0" borderId="0" xfId="17" applyNumberFormat="1" applyFont="1" applyFill="1" applyBorder="1" applyAlignment="1">
      <alignment horizontal="center"/>
    </xf>
    <xf numFmtId="10" fontId="14" fillId="0" borderId="0" xfId="17" applyNumberFormat="1" applyFont="1" applyFill="1" applyBorder="1" applyAlignment="1">
      <alignment horizontal="center"/>
    </xf>
    <xf numFmtId="10" fontId="14" fillId="0" borderId="0" xfId="10" applyNumberFormat="1" applyFont="1" applyFill="1" applyBorder="1" applyAlignment="1">
      <alignment horizontal="center" wrapText="1"/>
    </xf>
    <xf numFmtId="10" fontId="14" fillId="0" borderId="0" xfId="10" applyNumberFormat="1" applyFont="1" applyFill="1" applyBorder="1" applyAlignment="1">
      <alignment horizontal="center" vertical="center" wrapText="1"/>
    </xf>
    <xf numFmtId="181" fontId="14" fillId="0" borderId="0" xfId="7" applyNumberFormat="1" applyFont="1"/>
    <xf numFmtId="10" fontId="20" fillId="0" borderId="0" xfId="12" quotePrefix="1" applyNumberFormat="1" applyFont="1" applyAlignment="1">
      <alignment horizontal="center"/>
    </xf>
    <xf numFmtId="1" fontId="14" fillId="0" borderId="0" xfId="12" quotePrefix="1" applyNumberFormat="1" applyFont="1" applyAlignment="1">
      <alignment horizontal="center"/>
    </xf>
    <xf numFmtId="0" fontId="14" fillId="0" borderId="0" xfId="12" quotePrefix="1" applyFont="1" applyAlignment="1">
      <alignment horizontal="center"/>
    </xf>
    <xf numFmtId="10" fontId="20" fillId="0" borderId="0" xfId="10" applyNumberFormat="1" applyFont="1" applyFill="1" applyBorder="1" applyAlignment="1">
      <alignment horizontal="center" vertical="center" wrapText="1"/>
    </xf>
    <xf numFmtId="10" fontId="14" fillId="0" borderId="0" xfId="12" quotePrefix="1" applyNumberFormat="1" applyFont="1" applyAlignment="1">
      <alignment horizontal="center"/>
    </xf>
    <xf numFmtId="10" fontId="20" fillId="0" borderId="0" xfId="10" applyNumberFormat="1" applyFont="1" applyFill="1" applyBorder="1" applyAlignment="1">
      <alignment horizontal="center" wrapText="1"/>
    </xf>
    <xf numFmtId="3" fontId="14" fillId="0" borderId="0" xfId="10" applyNumberFormat="1" applyFont="1" applyFill="1" applyBorder="1" applyAlignment="1">
      <alignment horizontal="center" wrapText="1"/>
    </xf>
    <xf numFmtId="170" fontId="14" fillId="0" borderId="0" xfId="15" applyNumberFormat="1" applyFont="1" applyFill="1" applyBorder="1" applyAlignment="1">
      <alignment horizontal="center"/>
    </xf>
    <xf numFmtId="0" fontId="14" fillId="0" borderId="2" xfId="7" applyFont="1" applyBorder="1" applyAlignment="1">
      <alignment horizontal="center"/>
    </xf>
    <xf numFmtId="170" fontId="14" fillId="0" borderId="7" xfId="15" applyNumberFormat="1" applyFont="1" applyFill="1" applyBorder="1" applyAlignment="1">
      <alignment horizontal="center"/>
    </xf>
    <xf numFmtId="170" fontId="14" fillId="0" borderId="6" xfId="15" applyNumberFormat="1" applyFont="1" applyFill="1" applyBorder="1" applyAlignment="1">
      <alignment horizontal="center"/>
    </xf>
    <xf numFmtId="0" fontId="14" fillId="0" borderId="0" xfId="7" applyFont="1" applyAlignment="1">
      <alignment horizontal="center"/>
    </xf>
    <xf numFmtId="170" fontId="14" fillId="0" borderId="8" xfId="15" applyNumberFormat="1" applyFont="1" applyFill="1" applyBorder="1" applyAlignment="1">
      <alignment horizontal="center"/>
    </xf>
    <xf numFmtId="170" fontId="14" fillId="0" borderId="9" xfId="15" applyNumberFormat="1" applyFont="1" applyFill="1" applyBorder="1" applyAlignment="1">
      <alignment horizontal="center"/>
    </xf>
    <xf numFmtId="170" fontId="14" fillId="0" borderId="10" xfId="15" applyNumberFormat="1" applyFont="1" applyFill="1" applyBorder="1" applyAlignment="1">
      <alignment horizontal="center"/>
    </xf>
    <xf numFmtId="9" fontId="14" fillId="0" borderId="0" xfId="7" applyNumberFormat="1" applyFont="1" applyAlignment="1">
      <alignment horizontal="center" wrapText="1"/>
    </xf>
    <xf numFmtId="170" fontId="14" fillId="0" borderId="0" xfId="7" applyNumberFormat="1" applyFont="1" applyAlignment="1">
      <alignment horizontal="center" wrapText="1"/>
    </xf>
    <xf numFmtId="0" fontId="61" fillId="0" borderId="0" xfId="7" applyFont="1"/>
    <xf numFmtId="9" fontId="14" fillId="0" borderId="0" xfId="9" applyFont="1" applyFill="1" applyBorder="1" applyAlignment="1">
      <alignment horizontal="center"/>
    </xf>
    <xf numFmtId="9" fontId="62" fillId="0" borderId="0" xfId="9" applyFont="1" applyFill="1" applyBorder="1" applyAlignment="1">
      <alignment horizontal="center"/>
    </xf>
    <xf numFmtId="172" fontId="63" fillId="0" borderId="0" xfId="7" applyNumberFormat="1" applyFont="1" applyAlignment="1">
      <alignment horizontal="center"/>
    </xf>
    <xf numFmtId="173" fontId="61" fillId="0" borderId="0" xfId="7" applyNumberFormat="1" applyFont="1" applyAlignment="1">
      <alignment horizontal="center"/>
    </xf>
    <xf numFmtId="173" fontId="63" fillId="0" borderId="0" xfId="7" applyNumberFormat="1" applyFont="1" applyAlignment="1">
      <alignment horizontal="center"/>
    </xf>
    <xf numFmtId="171" fontId="64" fillId="0" borderId="0" xfId="7" applyNumberFormat="1" applyFont="1" applyAlignment="1">
      <alignment horizontal="center"/>
    </xf>
    <xf numFmtId="3" fontId="14" fillId="0" borderId="0" xfId="7" applyNumberFormat="1" applyFont="1" applyAlignment="1">
      <alignment horizontal="center"/>
    </xf>
    <xf numFmtId="10" fontId="18" fillId="0" borderId="0" xfId="9" applyNumberFormat="1" applyFont="1" applyFill="1" applyBorder="1" applyAlignment="1">
      <alignment horizontal="center"/>
    </xf>
    <xf numFmtId="10" fontId="14" fillId="0" borderId="0" xfId="9" applyNumberFormat="1" applyFont="1" applyFill="1" applyBorder="1" applyAlignment="1">
      <alignment horizontal="center"/>
    </xf>
    <xf numFmtId="0" fontId="62" fillId="0" borderId="0" xfId="3" applyFont="1" applyAlignment="1">
      <alignment horizontal="center"/>
    </xf>
    <xf numFmtId="0" fontId="14" fillId="0" borderId="2" xfId="7" applyFont="1" applyBorder="1" applyAlignment="1">
      <alignment horizontal="center" vertical="top"/>
    </xf>
    <xf numFmtId="170" fontId="14" fillId="0" borderId="7" xfId="9" applyNumberFormat="1" applyFont="1" applyFill="1" applyBorder="1" applyAlignment="1">
      <alignment horizontal="center"/>
    </xf>
    <xf numFmtId="170" fontId="14" fillId="0" borderId="0" xfId="9" applyNumberFormat="1" applyFont="1" applyFill="1" applyBorder="1" applyAlignment="1">
      <alignment horizontal="center"/>
    </xf>
    <xf numFmtId="170" fontId="14" fillId="0" borderId="6" xfId="9" applyNumberFormat="1" applyFont="1" applyFill="1" applyBorder="1" applyAlignment="1">
      <alignment horizontal="center"/>
    </xf>
    <xf numFmtId="0" fontId="14" fillId="0" borderId="0" xfId="7" applyFont="1" applyAlignment="1">
      <alignment horizontal="center" vertical="top"/>
    </xf>
    <xf numFmtId="170" fontId="14" fillId="0" borderId="8" xfId="9" applyNumberFormat="1" applyFont="1" applyFill="1" applyBorder="1" applyAlignment="1">
      <alignment horizontal="center"/>
    </xf>
    <xf numFmtId="170" fontId="14" fillId="0" borderId="9" xfId="9" applyNumberFormat="1" applyFont="1" applyFill="1" applyBorder="1" applyAlignment="1">
      <alignment horizontal="center"/>
    </xf>
    <xf numFmtId="170" fontId="14" fillId="0" borderId="10" xfId="9" applyNumberFormat="1" applyFont="1" applyFill="1" applyBorder="1" applyAlignment="1">
      <alignment horizontal="center"/>
    </xf>
    <xf numFmtId="10" fontId="14" fillId="0" borderId="0" xfId="9" applyNumberFormat="1" applyFont="1" applyFill="1" applyBorder="1" applyAlignment="1">
      <alignment horizontal="center" wrapText="1"/>
    </xf>
    <xf numFmtId="0" fontId="14" fillId="0" borderId="15" xfId="7" applyFont="1" applyBorder="1"/>
    <xf numFmtId="0" fontId="14" fillId="0" borderId="14" xfId="7" applyFont="1" applyBorder="1"/>
    <xf numFmtId="0" fontId="14" fillId="15" borderId="0" xfId="7" applyFont="1" applyFill="1" applyAlignment="1">
      <alignment horizontal="center"/>
    </xf>
    <xf numFmtId="180" fontId="14" fillId="15" borderId="7" xfId="10" applyNumberFormat="1" applyFont="1" applyFill="1" applyBorder="1" applyAlignment="1">
      <alignment horizontal="center" wrapText="1"/>
    </xf>
    <xf numFmtId="180" fontId="14" fillId="15" borderId="0" xfId="10" applyNumberFormat="1" applyFont="1" applyFill="1" applyBorder="1" applyAlignment="1">
      <alignment horizontal="center" wrapText="1"/>
    </xf>
    <xf numFmtId="180" fontId="14" fillId="15" borderId="6" xfId="10" applyNumberFormat="1" applyFont="1" applyFill="1" applyBorder="1" applyAlignment="1">
      <alignment horizontal="center" wrapText="1"/>
    </xf>
    <xf numFmtId="1" fontId="14" fillId="15" borderId="7" xfId="17" applyNumberFormat="1" applyFont="1" applyFill="1" applyBorder="1" applyAlignment="1">
      <alignment horizontal="center"/>
    </xf>
    <xf numFmtId="1" fontId="14" fillId="15" borderId="0" xfId="17" applyNumberFormat="1" applyFont="1" applyFill="1" applyBorder="1" applyAlignment="1">
      <alignment horizontal="center"/>
    </xf>
    <xf numFmtId="1" fontId="14" fillId="15" borderId="6" xfId="17" applyNumberFormat="1" applyFont="1" applyFill="1" applyBorder="1" applyAlignment="1">
      <alignment horizontal="center"/>
    </xf>
    <xf numFmtId="10" fontId="14" fillId="15" borderId="7" xfId="17" applyNumberFormat="1" applyFont="1" applyFill="1" applyBorder="1" applyAlignment="1">
      <alignment horizontal="center"/>
    </xf>
    <xf numFmtId="10" fontId="14" fillId="15" borderId="0" xfId="17" applyNumberFormat="1" applyFont="1" applyFill="1" applyBorder="1" applyAlignment="1">
      <alignment horizontal="center"/>
    </xf>
    <xf numFmtId="10" fontId="14" fillId="15" borderId="6" xfId="17" applyNumberFormat="1" applyFont="1" applyFill="1" applyBorder="1" applyAlignment="1">
      <alignment horizontal="center"/>
    </xf>
    <xf numFmtId="10" fontId="14" fillId="15" borderId="7" xfId="10" applyNumberFormat="1" applyFont="1" applyFill="1" applyBorder="1" applyAlignment="1">
      <alignment horizontal="center" wrapText="1"/>
    </xf>
    <xf numFmtId="10" fontId="14" fillId="15" borderId="0" xfId="10" applyNumberFormat="1" applyFont="1" applyFill="1" applyBorder="1" applyAlignment="1">
      <alignment horizontal="center" wrapText="1"/>
    </xf>
    <xf numFmtId="10" fontId="14" fillId="15" borderId="6" xfId="10" applyNumberFormat="1" applyFont="1" applyFill="1" applyBorder="1" applyAlignment="1">
      <alignment horizontal="center" wrapText="1"/>
    </xf>
    <xf numFmtId="10" fontId="14" fillId="15" borderId="7" xfId="10" applyNumberFormat="1" applyFont="1" applyFill="1" applyBorder="1" applyAlignment="1">
      <alignment horizontal="center" vertical="center" wrapText="1"/>
    </xf>
    <xf numFmtId="10" fontId="14" fillId="15" borderId="0" xfId="10" applyNumberFormat="1" applyFont="1" applyFill="1" applyBorder="1" applyAlignment="1">
      <alignment horizontal="center" vertical="center" wrapText="1"/>
    </xf>
    <xf numFmtId="10" fontId="14" fillId="15" borderId="6" xfId="10" applyNumberFormat="1" applyFont="1" applyFill="1" applyBorder="1" applyAlignment="1">
      <alignment horizontal="center" vertical="center" wrapText="1"/>
    </xf>
    <xf numFmtId="10" fontId="20" fillId="15" borderId="7" xfId="12" quotePrefix="1" applyNumberFormat="1" applyFont="1" applyFill="1" applyBorder="1" applyAlignment="1">
      <alignment horizontal="center"/>
    </xf>
    <xf numFmtId="10" fontId="20" fillId="15" borderId="0" xfId="12" quotePrefix="1" applyNumberFormat="1" applyFont="1" applyFill="1" applyAlignment="1">
      <alignment horizontal="center"/>
    </xf>
    <xf numFmtId="10" fontId="20" fillId="15" borderId="6" xfId="12" quotePrefix="1" applyNumberFormat="1" applyFont="1" applyFill="1" applyBorder="1" applyAlignment="1">
      <alignment horizontal="center"/>
    </xf>
    <xf numFmtId="1" fontId="14" fillId="15" borderId="7" xfId="12" quotePrefix="1" applyNumberFormat="1" applyFont="1" applyFill="1" applyBorder="1" applyAlignment="1">
      <alignment horizontal="center"/>
    </xf>
    <xf numFmtId="1" fontId="14" fillId="15" borderId="0" xfId="12" quotePrefix="1" applyNumberFormat="1" applyFont="1" applyFill="1" applyAlignment="1">
      <alignment horizontal="center"/>
    </xf>
    <xf numFmtId="1" fontId="14" fillId="15" borderId="6" xfId="12" quotePrefix="1" applyNumberFormat="1" applyFont="1" applyFill="1" applyBorder="1" applyAlignment="1">
      <alignment horizontal="center"/>
    </xf>
    <xf numFmtId="0" fontId="14" fillId="15" borderId="7" xfId="12" quotePrefix="1" applyFont="1" applyFill="1" applyBorder="1" applyAlignment="1">
      <alignment horizontal="center"/>
    </xf>
    <xf numFmtId="0" fontId="14" fillId="15" borderId="0" xfId="12" quotePrefix="1" applyFont="1" applyFill="1" applyAlignment="1">
      <alignment horizontal="center"/>
    </xf>
    <xf numFmtId="0" fontId="14" fillId="15" borderId="6" xfId="12" quotePrefix="1" applyFont="1" applyFill="1" applyBorder="1" applyAlignment="1">
      <alignment horizontal="center"/>
    </xf>
    <xf numFmtId="10" fontId="20" fillId="15" borderId="7" xfId="10" applyNumberFormat="1" applyFont="1" applyFill="1" applyBorder="1" applyAlignment="1">
      <alignment horizontal="center" vertical="center" wrapText="1"/>
    </xf>
    <xf numFmtId="10" fontId="20" fillId="15" borderId="0" xfId="10" applyNumberFormat="1" applyFont="1" applyFill="1" applyBorder="1" applyAlignment="1">
      <alignment horizontal="center" vertical="center" wrapText="1"/>
    </xf>
    <xf numFmtId="10" fontId="20" fillId="15" borderId="6" xfId="10" applyNumberFormat="1" applyFont="1" applyFill="1" applyBorder="1" applyAlignment="1">
      <alignment horizontal="center" vertical="center" wrapText="1"/>
    </xf>
    <xf numFmtId="10" fontId="14" fillId="15" borderId="7" xfId="12" quotePrefix="1" applyNumberFormat="1" applyFont="1" applyFill="1" applyBorder="1" applyAlignment="1">
      <alignment horizontal="center"/>
    </xf>
    <xf numFmtId="10" fontId="14" fillId="15" borderId="0" xfId="12" quotePrefix="1" applyNumberFormat="1" applyFont="1" applyFill="1" applyAlignment="1">
      <alignment horizontal="center"/>
    </xf>
    <xf numFmtId="10" fontId="14" fillId="15" borderId="6" xfId="12" quotePrefix="1" applyNumberFormat="1" applyFont="1" applyFill="1" applyBorder="1" applyAlignment="1">
      <alignment horizontal="center"/>
    </xf>
    <xf numFmtId="10" fontId="20" fillId="15" borderId="7" xfId="10" applyNumberFormat="1" applyFont="1" applyFill="1" applyBorder="1" applyAlignment="1">
      <alignment horizontal="center" wrapText="1"/>
    </xf>
    <xf numFmtId="10" fontId="20" fillId="15" borderId="0" xfId="10" applyNumberFormat="1" applyFont="1" applyFill="1" applyBorder="1" applyAlignment="1">
      <alignment horizontal="center" wrapText="1"/>
    </xf>
    <xf numFmtId="10" fontId="20" fillId="15" borderId="6" xfId="10" applyNumberFormat="1" applyFont="1" applyFill="1" applyBorder="1" applyAlignment="1">
      <alignment horizontal="center" wrapText="1"/>
    </xf>
    <xf numFmtId="3" fontId="14" fillId="15" borderId="7" xfId="10" applyNumberFormat="1" applyFont="1" applyFill="1" applyBorder="1" applyAlignment="1">
      <alignment horizontal="center" wrapText="1"/>
    </xf>
    <xf numFmtId="3" fontId="14" fillId="15" borderId="0" xfId="10" applyNumberFormat="1" applyFont="1" applyFill="1" applyBorder="1" applyAlignment="1">
      <alignment horizontal="center" wrapText="1"/>
    </xf>
    <xf numFmtId="3" fontId="14" fillId="15" borderId="6" xfId="10" applyNumberFormat="1" applyFont="1" applyFill="1" applyBorder="1" applyAlignment="1">
      <alignment horizontal="center" wrapText="1"/>
    </xf>
    <xf numFmtId="0" fontId="14" fillId="15" borderId="0" xfId="7" quotePrefix="1" applyFont="1" applyFill="1" applyAlignment="1">
      <alignment horizontal="center"/>
    </xf>
    <xf numFmtId="170" fontId="14" fillId="15" borderId="7" xfId="15" applyNumberFormat="1" applyFont="1" applyFill="1" applyBorder="1" applyAlignment="1">
      <alignment horizontal="center"/>
    </xf>
    <xf numFmtId="170" fontId="14" fillId="15" borderId="0" xfId="15" applyNumberFormat="1" applyFont="1" applyFill="1" applyBorder="1" applyAlignment="1">
      <alignment horizontal="center"/>
    </xf>
    <xf numFmtId="170" fontId="14" fillId="15" borderId="6" xfId="15" applyNumberFormat="1" applyFont="1" applyFill="1" applyBorder="1" applyAlignment="1">
      <alignment horizontal="center"/>
    </xf>
    <xf numFmtId="0" fontId="59" fillId="16" borderId="0" xfId="12" applyFont="1" applyFill="1"/>
    <xf numFmtId="0" fontId="60" fillId="16" borderId="0" xfId="7" applyFont="1" applyFill="1"/>
    <xf numFmtId="0" fontId="59" fillId="16" borderId="7" xfId="12" applyFont="1" applyFill="1" applyBorder="1"/>
    <xf numFmtId="0" fontId="60" fillId="16" borderId="6" xfId="7" applyFont="1" applyFill="1" applyBorder="1"/>
    <xf numFmtId="0" fontId="28" fillId="16" borderId="0" xfId="12" applyFont="1" applyFill="1"/>
    <xf numFmtId="0" fontId="29" fillId="16" borderId="0" xfId="7" applyFont="1" applyFill="1"/>
    <xf numFmtId="0" fontId="28" fillId="16" borderId="7" xfId="12" applyFont="1" applyFill="1" applyBorder="1"/>
    <xf numFmtId="0" fontId="29" fillId="16" borderId="6" xfId="7" applyFont="1" applyFill="1" applyBorder="1"/>
    <xf numFmtId="9" fontId="14" fillId="15" borderId="7" xfId="7" applyNumberFormat="1" applyFont="1" applyFill="1" applyBorder="1" applyAlignment="1">
      <alignment horizontal="center" wrapText="1"/>
    </xf>
    <xf numFmtId="9" fontId="14" fillId="15" borderId="0" xfId="7" applyNumberFormat="1" applyFont="1" applyFill="1" applyAlignment="1">
      <alignment horizontal="center" wrapText="1"/>
    </xf>
    <xf numFmtId="9" fontId="14" fillId="15" borderId="6" xfId="7" applyNumberFormat="1" applyFont="1" applyFill="1" applyBorder="1" applyAlignment="1">
      <alignment horizontal="center" wrapText="1"/>
    </xf>
    <xf numFmtId="170" fontId="14" fillId="15" borderId="7" xfId="7" applyNumberFormat="1" applyFont="1" applyFill="1" applyBorder="1" applyAlignment="1">
      <alignment horizontal="center" wrapText="1"/>
    </xf>
    <xf numFmtId="170" fontId="14" fillId="15" borderId="0" xfId="7" applyNumberFormat="1" applyFont="1" applyFill="1" applyAlignment="1">
      <alignment horizontal="center" wrapText="1"/>
    </xf>
    <xf numFmtId="170" fontId="14" fillId="15" borderId="6" xfId="7" applyNumberFormat="1" applyFont="1" applyFill="1" applyBorder="1" applyAlignment="1">
      <alignment horizontal="center" wrapText="1"/>
    </xf>
    <xf numFmtId="172" fontId="14" fillId="15" borderId="0" xfId="7" applyNumberFormat="1" applyFont="1" applyFill="1" applyAlignment="1">
      <alignment horizontal="center" vertical="top" wrapText="1"/>
    </xf>
    <xf numFmtId="9" fontId="14" fillId="15" borderId="7" xfId="9" applyFont="1" applyFill="1" applyBorder="1" applyAlignment="1">
      <alignment horizontal="center"/>
    </xf>
    <xf numFmtId="9" fontId="14" fillId="15" borderId="0" xfId="9" applyFont="1" applyFill="1" applyBorder="1" applyAlignment="1">
      <alignment horizontal="center"/>
    </xf>
    <xf numFmtId="9" fontId="14" fillId="15" borderId="6" xfId="9" applyFont="1" applyFill="1" applyBorder="1" applyAlignment="1">
      <alignment horizontal="center"/>
    </xf>
    <xf numFmtId="0" fontId="14" fillId="15" borderId="0" xfId="7" applyFont="1" applyFill="1" applyAlignment="1">
      <alignment horizontal="center" wrapText="1"/>
    </xf>
    <xf numFmtId="3" fontId="14" fillId="15" borderId="7" xfId="7" applyNumberFormat="1" applyFont="1" applyFill="1" applyBorder="1" applyAlignment="1">
      <alignment horizontal="center"/>
    </xf>
    <xf numFmtId="3" fontId="14" fillId="15" borderId="0" xfId="7" applyNumberFormat="1" applyFont="1" applyFill="1" applyAlignment="1">
      <alignment horizontal="center"/>
    </xf>
    <xf numFmtId="3" fontId="14" fillId="15" borderId="6" xfId="7" applyNumberFormat="1" applyFont="1" applyFill="1" applyBorder="1" applyAlignment="1">
      <alignment horizontal="center"/>
    </xf>
    <xf numFmtId="172" fontId="14" fillId="17" borderId="0" xfId="7" applyNumberFormat="1" applyFont="1" applyFill="1" applyAlignment="1">
      <alignment horizontal="center" vertical="top" wrapText="1"/>
    </xf>
    <xf numFmtId="0" fontId="14" fillId="17" borderId="0" xfId="7" applyFont="1" applyFill="1" applyAlignment="1">
      <alignment horizontal="center" vertical="top"/>
    </xf>
    <xf numFmtId="172" fontId="63" fillId="17" borderId="0" xfId="7" applyNumberFormat="1" applyFont="1" applyFill="1" applyAlignment="1">
      <alignment horizontal="center"/>
    </xf>
    <xf numFmtId="172" fontId="63" fillId="17" borderId="6" xfId="7" applyNumberFormat="1" applyFont="1" applyFill="1" applyBorder="1" applyAlignment="1">
      <alignment horizontal="center"/>
    </xf>
    <xf numFmtId="173" fontId="63" fillId="17" borderId="7" xfId="7" applyNumberFormat="1" applyFont="1" applyFill="1" applyBorder="1" applyAlignment="1">
      <alignment horizontal="center"/>
    </xf>
    <xf numFmtId="173" fontId="61" fillId="17" borderId="0" xfId="7" applyNumberFormat="1" applyFont="1" applyFill="1" applyAlignment="1">
      <alignment horizontal="center"/>
    </xf>
    <xf numFmtId="173" fontId="61" fillId="17" borderId="6" xfId="7" applyNumberFormat="1" applyFont="1" applyFill="1" applyBorder="1" applyAlignment="1">
      <alignment horizontal="center"/>
    </xf>
    <xf numFmtId="0" fontId="14" fillId="17" borderId="0" xfId="7" applyFont="1" applyFill="1" applyAlignment="1">
      <alignment horizontal="center" wrapText="1"/>
    </xf>
    <xf numFmtId="173" fontId="63" fillId="17" borderId="0" xfId="7" applyNumberFormat="1" applyFont="1" applyFill="1" applyAlignment="1">
      <alignment horizontal="center"/>
    </xf>
    <xf numFmtId="173" fontId="63" fillId="17" borderId="6" xfId="7" applyNumberFormat="1" applyFont="1" applyFill="1" applyBorder="1" applyAlignment="1">
      <alignment horizontal="center"/>
    </xf>
    <xf numFmtId="171" fontId="64" fillId="17" borderId="7" xfId="7" applyNumberFormat="1" applyFont="1" applyFill="1" applyBorder="1" applyAlignment="1">
      <alignment horizontal="center"/>
    </xf>
    <xf numFmtId="171" fontId="64" fillId="17" borderId="6" xfId="7" applyNumberFormat="1" applyFont="1" applyFill="1" applyBorder="1" applyAlignment="1">
      <alignment horizontal="center"/>
    </xf>
    <xf numFmtId="0" fontId="14" fillId="17" borderId="0" xfId="12" applyFont="1" applyFill="1" applyAlignment="1">
      <alignment horizontal="left" indent="1"/>
    </xf>
    <xf numFmtId="0" fontId="14" fillId="17" borderId="0" xfId="7" applyFont="1" applyFill="1" applyAlignment="1">
      <alignment horizontal="center"/>
    </xf>
    <xf numFmtId="0" fontId="62" fillId="17" borderId="0" xfId="3" applyFont="1" applyFill="1" applyAlignment="1">
      <alignment horizontal="center"/>
    </xf>
    <xf numFmtId="0" fontId="62" fillId="17" borderId="6" xfId="3" applyFont="1" applyFill="1" applyBorder="1" applyAlignment="1">
      <alignment horizontal="center"/>
    </xf>
    <xf numFmtId="0" fontId="14" fillId="15" borderId="0" xfId="7" applyFont="1" applyFill="1" applyAlignment="1">
      <alignment horizontal="center" vertical="top"/>
    </xf>
    <xf numFmtId="10" fontId="14" fillId="15" borderId="7" xfId="9" applyNumberFormat="1" applyFont="1" applyFill="1" applyBorder="1" applyAlignment="1">
      <alignment horizontal="center" wrapText="1"/>
    </xf>
    <xf numFmtId="10" fontId="14" fillId="15" borderId="0" xfId="9" applyNumberFormat="1" applyFont="1" applyFill="1" applyBorder="1" applyAlignment="1">
      <alignment horizontal="center" wrapText="1"/>
    </xf>
    <xf numFmtId="10" fontId="14" fillId="15" borderId="6" xfId="9" applyNumberFormat="1" applyFont="1" applyFill="1" applyBorder="1" applyAlignment="1">
      <alignment horizontal="center" wrapText="1"/>
    </xf>
    <xf numFmtId="0" fontId="14" fillId="15" borderId="0" xfId="7" applyFont="1" applyFill="1"/>
    <xf numFmtId="0" fontId="14" fillId="17" borderId="0" xfId="12" applyFont="1" applyFill="1"/>
    <xf numFmtId="0" fontId="14" fillId="18" borderId="0" xfId="12" applyFont="1" applyFill="1" applyAlignment="1">
      <alignment vertical="top" wrapText="1"/>
    </xf>
    <xf numFmtId="0" fontId="14" fillId="0" borderId="0" xfId="7" applyFont="1" applyBorder="1"/>
    <xf numFmtId="0" fontId="20" fillId="0" borderId="0" xfId="7" applyFont="1" applyBorder="1"/>
    <xf numFmtId="180" fontId="14" fillId="0" borderId="0" xfId="7" applyNumberFormat="1" applyFont="1" applyBorder="1"/>
    <xf numFmtId="181" fontId="14" fillId="0" borderId="0" xfId="7" applyNumberFormat="1" applyFont="1" applyBorder="1"/>
    <xf numFmtId="0" fontId="12" fillId="7" borderId="0" xfId="0" applyFont="1" applyFill="1" applyAlignment="1">
      <alignment vertical="center"/>
    </xf>
    <xf numFmtId="0" fontId="0" fillId="7"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left"/>
    </xf>
    <xf numFmtId="173" fontId="14" fillId="17" borderId="7" xfId="7" applyNumberFormat="1" applyFont="1" applyFill="1" applyBorder="1" applyAlignment="1">
      <alignment horizontal="center"/>
    </xf>
    <xf numFmtId="173" fontId="14" fillId="17" borderId="0" xfId="7" applyNumberFormat="1" applyFont="1" applyFill="1" applyBorder="1" applyAlignment="1">
      <alignment horizontal="center"/>
    </xf>
    <xf numFmtId="173" fontId="14" fillId="17" borderId="17" xfId="7" applyNumberFormat="1" applyFont="1" applyFill="1" applyBorder="1" applyAlignment="1">
      <alignment horizontal="center"/>
    </xf>
    <xf numFmtId="171" fontId="64" fillId="17" borderId="0" xfId="7" applyNumberFormat="1" applyFont="1" applyFill="1" applyBorder="1" applyAlignment="1">
      <alignment horizontal="center"/>
    </xf>
    <xf numFmtId="10" fontId="64" fillId="17" borderId="7" xfId="4" applyNumberFormat="1" applyFont="1" applyFill="1" applyBorder="1" applyAlignment="1">
      <alignment horizontal="center"/>
    </xf>
    <xf numFmtId="10" fontId="64" fillId="17" borderId="0" xfId="4" applyNumberFormat="1" applyFont="1" applyFill="1" applyBorder="1" applyAlignment="1">
      <alignment horizontal="center"/>
    </xf>
    <xf numFmtId="10" fontId="64" fillId="17" borderId="6" xfId="4" applyNumberFormat="1" applyFont="1" applyFill="1" applyBorder="1" applyAlignment="1">
      <alignment horizontal="center"/>
    </xf>
    <xf numFmtId="173" fontId="63" fillId="17" borderId="0" xfId="7" applyNumberFormat="1" applyFont="1" applyFill="1" applyBorder="1" applyAlignment="1">
      <alignment horizontal="center"/>
    </xf>
    <xf numFmtId="170" fontId="14" fillId="0" borderId="0" xfId="4" applyNumberFormat="1" applyFont="1" applyAlignment="1">
      <alignment vertical="center"/>
    </xf>
    <xf numFmtId="0" fontId="14" fillId="0" borderId="7" xfId="7" applyFont="1" applyBorder="1" applyAlignment="1">
      <alignment horizontal="center"/>
    </xf>
    <xf numFmtId="0" fontId="20" fillId="0" borderId="0" xfId="12" applyFont="1" applyAlignment="1">
      <alignment vertical="center"/>
    </xf>
    <xf numFmtId="0" fontId="14" fillId="0" borderId="0" xfId="12" applyFont="1"/>
    <xf numFmtId="0" fontId="20" fillId="0" borderId="0" xfId="12" applyFont="1" applyAlignment="1">
      <alignment horizontal="center" wrapText="1"/>
    </xf>
    <xf numFmtId="0" fontId="21" fillId="0" borderId="0" xfId="12" applyFont="1" applyAlignment="1">
      <alignment horizontal="center"/>
    </xf>
    <xf numFmtId="0" fontId="20" fillId="0" borderId="7" xfId="7" applyFont="1" applyBorder="1" applyAlignment="1">
      <alignment horizontal="center" vertical="center" wrapText="1"/>
    </xf>
    <xf numFmtId="0" fontId="20" fillId="0" borderId="0" xfId="7" applyFont="1" applyAlignment="1">
      <alignment horizontal="center" vertical="top" wrapText="1"/>
    </xf>
    <xf numFmtId="0" fontId="14" fillId="0" borderId="0" xfId="12" applyFont="1" applyAlignment="1">
      <alignment vertical="center"/>
    </xf>
    <xf numFmtId="0" fontId="14" fillId="0" borderId="2" xfId="12" applyFont="1" applyBorder="1" applyAlignment="1">
      <alignment vertical="center"/>
    </xf>
    <xf numFmtId="0" fontId="60" fillId="0" borderId="7" xfId="12" applyFont="1" applyBorder="1" applyAlignment="1">
      <alignment horizontal="center" wrapText="1"/>
    </xf>
    <xf numFmtId="0" fontId="20" fillId="0" borderId="0" xfId="12" applyFont="1"/>
    <xf numFmtId="0" fontId="14" fillId="0" borderId="7" xfId="12" applyFont="1" applyBorder="1"/>
    <xf numFmtId="0" fontId="14" fillId="0" borderId="7" xfId="12" applyFont="1" applyBorder="1" applyAlignment="1">
      <alignment horizontal="center" wrapText="1"/>
    </xf>
    <xf numFmtId="0" fontId="14" fillId="0" borderId="0" xfId="7" applyFont="1" applyAlignment="1">
      <alignment horizontal="right" indent="5"/>
    </xf>
    <xf numFmtId="0" fontId="14" fillId="0" borderId="0" xfId="12" applyFont="1" applyAlignment="1">
      <alignment horizontal="left" indent="2"/>
    </xf>
    <xf numFmtId="10" fontId="18" fillId="0" borderId="7" xfId="13" applyNumberFormat="1" applyFont="1" applyBorder="1" applyAlignment="1">
      <alignment horizontal="center" wrapText="1"/>
    </xf>
    <xf numFmtId="10" fontId="18" fillId="0" borderId="0" xfId="13" applyNumberFormat="1" applyFont="1" applyAlignment="1">
      <alignment horizontal="center" wrapText="1"/>
    </xf>
    <xf numFmtId="3" fontId="14" fillId="0" borderId="7" xfId="13" applyNumberFormat="1" applyFont="1" applyBorder="1" applyAlignment="1">
      <alignment horizontal="right" wrapText="1" indent="1"/>
    </xf>
    <xf numFmtId="3" fontId="14" fillId="0" borderId="7" xfId="12" applyNumberFormat="1" applyFont="1" applyBorder="1" applyAlignment="1">
      <alignment horizontal="right" wrapText="1" indent="1"/>
    </xf>
    <xf numFmtId="0" fontId="14" fillId="0" borderId="2" xfId="12" applyFont="1" applyBorder="1"/>
    <xf numFmtId="0" fontId="14" fillId="0" borderId="2" xfId="12" applyFont="1" applyBorder="1" applyAlignment="1">
      <alignment horizontal="right" indent="5"/>
    </xf>
    <xf numFmtId="0" fontId="14" fillId="0" borderId="0" xfId="12" applyFont="1" applyAlignment="1">
      <alignment horizontal="right" indent="5"/>
    </xf>
    <xf numFmtId="0" fontId="59" fillId="0" borderId="0" xfId="12" applyFont="1"/>
    <xf numFmtId="0" fontId="14" fillId="0" borderId="0" xfId="12" applyFont="1" applyAlignment="1">
      <alignment horizontal="left" indent="1"/>
    </xf>
    <xf numFmtId="3" fontId="20" fillId="0" borderId="7" xfId="12" applyNumberFormat="1" applyFont="1" applyBorder="1" applyAlignment="1">
      <alignment horizontal="right" wrapText="1" indent="1"/>
    </xf>
    <xf numFmtId="0" fontId="21" fillId="0" borderId="2" xfId="12" applyFont="1" applyBorder="1"/>
    <xf numFmtId="0" fontId="21" fillId="0" borderId="0" xfId="12" applyFont="1"/>
    <xf numFmtId="0" fontId="20" fillId="0" borderId="1" xfId="12" applyFont="1" applyBorder="1"/>
    <xf numFmtId="3" fontId="14" fillId="0" borderId="15" xfId="12" applyNumberFormat="1" applyFont="1" applyBorder="1" applyAlignment="1">
      <alignment horizontal="center" wrapText="1"/>
    </xf>
    <xf numFmtId="3" fontId="14" fillId="0" borderId="1" xfId="12" applyNumberFormat="1" applyFont="1" applyBorder="1" applyAlignment="1">
      <alignment horizontal="center" wrapText="1"/>
    </xf>
    <xf numFmtId="3" fontId="14" fillId="0" borderId="7" xfId="12" applyNumberFormat="1" applyFont="1" applyBorder="1" applyAlignment="1">
      <alignment horizontal="center" wrapText="1"/>
    </xf>
    <xf numFmtId="3" fontId="14" fillId="0" borderId="0" xfId="12" applyNumberFormat="1" applyFont="1" applyAlignment="1">
      <alignment horizontal="center" wrapText="1"/>
    </xf>
    <xf numFmtId="0" fontId="14" fillId="0" borderId="0" xfId="12" applyFont="1" applyAlignment="1">
      <alignment vertical="top" wrapText="1"/>
    </xf>
    <xf numFmtId="3" fontId="14" fillId="0" borderId="0" xfId="12" applyNumberFormat="1" applyFont="1"/>
    <xf numFmtId="176" fontId="14" fillId="0" borderId="0" xfId="17" applyNumberFormat="1" applyFont="1" applyFill="1" applyBorder="1" applyAlignment="1">
      <alignment horizontal="left" indent="2"/>
    </xf>
    <xf numFmtId="3" fontId="14" fillId="0" borderId="0" xfId="13" applyNumberFormat="1" applyFont="1" applyAlignment="1">
      <alignment horizontal="right" wrapText="1" indent="1"/>
    </xf>
    <xf numFmtId="1" fontId="66" fillId="15" borderId="7" xfId="17" applyNumberFormat="1" applyFont="1" applyFill="1" applyBorder="1" applyAlignment="1">
      <alignment horizontal="center"/>
    </xf>
    <xf numFmtId="1" fontId="66" fillId="15" borderId="0" xfId="17" applyNumberFormat="1" applyFont="1" applyFill="1" applyBorder="1" applyAlignment="1">
      <alignment horizontal="center"/>
    </xf>
    <xf numFmtId="10" fontId="66" fillId="15" borderId="7" xfId="17" applyNumberFormat="1" applyFont="1" applyFill="1" applyBorder="1" applyAlignment="1">
      <alignment horizontal="center"/>
    </xf>
    <xf numFmtId="10" fontId="66" fillId="15" borderId="0" xfId="17" applyNumberFormat="1" applyFont="1" applyFill="1" applyBorder="1" applyAlignment="1">
      <alignment horizontal="center"/>
    </xf>
    <xf numFmtId="1" fontId="20" fillId="15" borderId="7" xfId="17" applyNumberFormat="1" applyFont="1" applyFill="1" applyBorder="1" applyAlignment="1">
      <alignment horizontal="center"/>
    </xf>
    <xf numFmtId="1" fontId="20" fillId="15" borderId="0" xfId="17" applyNumberFormat="1" applyFont="1" applyFill="1" applyBorder="1" applyAlignment="1">
      <alignment horizontal="center"/>
    </xf>
    <xf numFmtId="10" fontId="14" fillId="15" borderId="0" xfId="7" applyNumberFormat="1" applyFont="1" applyFill="1" applyAlignment="1">
      <alignment horizontal="right" indent="5"/>
    </xf>
    <xf numFmtId="0" fontId="14" fillId="15" borderId="0" xfId="12" applyFont="1" applyFill="1" applyAlignment="1">
      <alignment horizontal="left" indent="2"/>
    </xf>
    <xf numFmtId="3" fontId="68" fillId="15" borderId="7" xfId="13" applyNumberFormat="1" applyFont="1" applyFill="1" applyBorder="1" applyAlignment="1">
      <alignment horizontal="center" wrapText="1"/>
    </xf>
    <xf numFmtId="3" fontId="68" fillId="15" borderId="0" xfId="13" applyNumberFormat="1" applyFont="1" applyFill="1" applyAlignment="1">
      <alignment horizontal="center" wrapText="1"/>
    </xf>
    <xf numFmtId="176" fontId="14" fillId="15" borderId="0" xfId="17" applyNumberFormat="1" applyFont="1" applyFill="1" applyBorder="1" applyAlignment="1">
      <alignment horizontal="left" indent="2"/>
    </xf>
    <xf numFmtId="3" fontId="68" fillId="15" borderId="0" xfId="7" applyNumberFormat="1" applyFont="1" applyFill="1" applyAlignment="1">
      <alignment horizontal="center"/>
    </xf>
    <xf numFmtId="0" fontId="21" fillId="18" borderId="0" xfId="7" applyFont="1" applyFill="1" applyAlignment="1">
      <alignment horizontal="right" indent="5"/>
    </xf>
    <xf numFmtId="176" fontId="21" fillId="18" borderId="0" xfId="17" applyNumberFormat="1" applyFont="1" applyFill="1" applyBorder="1" applyAlignment="1">
      <alignment horizontal="left" indent="2"/>
    </xf>
    <xf numFmtId="3" fontId="21" fillId="18" borderId="7" xfId="12" applyNumberFormat="1" applyFont="1" applyFill="1" applyBorder="1" applyAlignment="1">
      <alignment horizontal="center" wrapText="1"/>
    </xf>
    <xf numFmtId="3" fontId="21" fillId="18" borderId="0" xfId="12" applyNumberFormat="1" applyFont="1" applyFill="1" applyAlignment="1">
      <alignment horizontal="center" wrapText="1"/>
    </xf>
    <xf numFmtId="0" fontId="14" fillId="18" borderId="0" xfId="7" applyFont="1" applyFill="1" applyAlignment="1">
      <alignment horizontal="right" indent="5"/>
    </xf>
    <xf numFmtId="176" fontId="14" fillId="18" borderId="0" xfId="17" applyNumberFormat="1" applyFont="1" applyFill="1" applyBorder="1" applyAlignment="1">
      <alignment horizontal="left" indent="2"/>
    </xf>
    <xf numFmtId="3" fontId="14" fillId="18" borderId="7" xfId="13" applyNumberFormat="1" applyFont="1" applyFill="1" applyBorder="1" applyAlignment="1">
      <alignment horizontal="center" wrapText="1"/>
    </xf>
    <xf numFmtId="3" fontId="14" fillId="18" borderId="0" xfId="13" applyNumberFormat="1" applyFont="1" applyFill="1" applyAlignment="1">
      <alignment horizontal="center" wrapText="1"/>
    </xf>
    <xf numFmtId="0" fontId="20" fillId="18" borderId="0" xfId="12" applyFont="1" applyFill="1"/>
    <xf numFmtId="3" fontId="20" fillId="18" borderId="7" xfId="12" applyNumberFormat="1" applyFont="1" applyFill="1" applyBorder="1" applyAlignment="1">
      <alignment horizontal="center" wrapText="1"/>
    </xf>
    <xf numFmtId="3" fontId="20" fillId="18" borderId="0" xfId="12" applyNumberFormat="1" applyFont="1" applyFill="1" applyAlignment="1">
      <alignment horizontal="center" wrapText="1"/>
    </xf>
    <xf numFmtId="0" fontId="14" fillId="18" borderId="0" xfId="7" quotePrefix="1" applyFont="1" applyFill="1" applyAlignment="1">
      <alignment horizontal="right" indent="5"/>
    </xf>
    <xf numFmtId="3" fontId="14" fillId="18" borderId="7" xfId="13" applyNumberFormat="1" applyFont="1" applyFill="1" applyBorder="1" applyAlignment="1">
      <alignment horizontal="center" vertical="center" wrapText="1"/>
    </xf>
    <xf numFmtId="3" fontId="14" fillId="18" borderId="0" xfId="13" applyNumberFormat="1" applyFont="1" applyFill="1" applyAlignment="1">
      <alignment horizontal="center" vertical="center" wrapText="1"/>
    </xf>
    <xf numFmtId="0" fontId="14" fillId="18" borderId="0" xfId="7" applyFont="1" applyFill="1"/>
    <xf numFmtId="0" fontId="21" fillId="18" borderId="0" xfId="12" applyFont="1" applyFill="1" applyAlignment="1">
      <alignment horizontal="left"/>
    </xf>
    <xf numFmtId="176" fontId="20" fillId="18" borderId="0" xfId="17" applyNumberFormat="1" applyFont="1" applyFill="1" applyBorder="1" applyAlignment="1">
      <alignment horizontal="left" indent="2"/>
    </xf>
    <xf numFmtId="10" fontId="69" fillId="18" borderId="0" xfId="12" applyNumberFormat="1" applyFont="1" applyFill="1"/>
    <xf numFmtId="0" fontId="29" fillId="16" borderId="7" xfId="12" applyFont="1" applyFill="1" applyBorder="1"/>
    <xf numFmtId="0" fontId="29" fillId="16" borderId="0" xfId="12" applyFont="1" applyFill="1"/>
    <xf numFmtId="0" fontId="14" fillId="17" borderId="0" xfId="7" applyFont="1" applyFill="1" applyAlignment="1">
      <alignment horizontal="right" indent="5"/>
    </xf>
    <xf numFmtId="176" fontId="14" fillId="17" borderId="0" xfId="17" applyNumberFormat="1" applyFont="1" applyFill="1" applyBorder="1" applyAlignment="1">
      <alignment horizontal="left" indent="2"/>
    </xf>
    <xf numFmtId="10" fontId="14" fillId="17" borderId="0" xfId="7" applyNumberFormat="1" applyFont="1" applyFill="1" applyAlignment="1">
      <alignment horizontal="right" indent="5"/>
    </xf>
    <xf numFmtId="3" fontId="14" fillId="17" borderId="7" xfId="13" applyNumberFormat="1" applyFont="1" applyFill="1" applyBorder="1" applyAlignment="1">
      <alignment horizontal="center" wrapText="1"/>
    </xf>
    <xf numFmtId="3" fontId="14" fillId="17" borderId="0" xfId="13" applyNumberFormat="1" applyFont="1" applyFill="1" applyAlignment="1">
      <alignment horizontal="center" wrapText="1"/>
    </xf>
    <xf numFmtId="3" fontId="14" fillId="0" borderId="0" xfId="13" applyNumberFormat="1" applyFont="1" applyBorder="1" applyAlignment="1">
      <alignment horizontal="right" wrapText="1" indent="1"/>
    </xf>
    <xf numFmtId="3" fontId="14" fillId="17" borderId="0" xfId="13" applyNumberFormat="1" applyFont="1" applyFill="1" applyBorder="1" applyAlignment="1">
      <alignment horizontal="center" wrapText="1"/>
    </xf>
    <xf numFmtId="3" fontId="14" fillId="0" borderId="0" xfId="7" applyNumberFormat="1" applyFont="1"/>
    <xf numFmtId="0" fontId="14" fillId="0" borderId="1" xfId="10" applyFont="1" applyBorder="1"/>
    <xf numFmtId="0" fontId="14" fillId="0" borderId="1" xfId="10" applyFont="1" applyBorder="1" applyAlignment="1">
      <alignment horizontal="center"/>
    </xf>
    <xf numFmtId="0" fontId="14" fillId="0" borderId="0" xfId="10" applyFont="1" applyBorder="1" applyAlignment="1">
      <alignment horizontal="center"/>
    </xf>
    <xf numFmtId="0" fontId="14" fillId="0" borderId="18" xfId="10" applyFont="1" applyBorder="1" applyAlignment="1">
      <alignment horizontal="center"/>
    </xf>
    <xf numFmtId="0" fontId="14" fillId="0" borderId="3" xfId="10" applyFont="1" applyBorder="1" applyAlignment="1">
      <alignment horizontal="center"/>
    </xf>
    <xf numFmtId="0" fontId="14" fillId="0" borderId="6" xfId="10" applyFont="1" applyBorder="1" applyAlignment="1">
      <alignment horizontal="center"/>
    </xf>
    <xf numFmtId="0" fontId="20" fillId="0" borderId="0" xfId="11" applyFont="1"/>
    <xf numFmtId="0" fontId="20" fillId="0" borderId="19" xfId="7" applyFont="1" applyBorder="1" applyAlignment="1">
      <alignment horizontal="center" wrapText="1"/>
    </xf>
    <xf numFmtId="0" fontId="20" fillId="0" borderId="20" xfId="7" applyFont="1" applyBorder="1" applyAlignment="1">
      <alignment horizontal="center" wrapText="1"/>
    </xf>
    <xf numFmtId="0" fontId="20" fillId="0" borderId="0" xfId="10" applyFont="1" applyBorder="1" applyAlignment="1">
      <alignment vertical="center"/>
    </xf>
    <xf numFmtId="0" fontId="20" fillId="0" borderId="7" xfId="10" applyFont="1" applyFill="1" applyBorder="1" applyAlignment="1">
      <alignment horizontal="center" wrapText="1"/>
    </xf>
    <xf numFmtId="0" fontId="20" fillId="0" borderId="2" xfId="10" applyFont="1" applyBorder="1"/>
    <xf numFmtId="0" fontId="20" fillId="0" borderId="4" xfId="10" applyFont="1" applyFill="1" applyBorder="1" applyAlignment="1">
      <alignment horizontal="center" wrapText="1"/>
    </xf>
    <xf numFmtId="0" fontId="20" fillId="0" borderId="2" xfId="10" applyFont="1" applyFill="1" applyBorder="1" applyAlignment="1">
      <alignment horizontal="center" wrapText="1"/>
    </xf>
    <xf numFmtId="0" fontId="14" fillId="0" borderId="0" xfId="10" applyFont="1" applyBorder="1"/>
    <xf numFmtId="4" fontId="14" fillId="0" borderId="7" xfId="10" applyNumberFormat="1" applyFont="1" applyBorder="1" applyAlignment="1">
      <alignment horizontal="center" wrapText="1"/>
    </xf>
    <xf numFmtId="0" fontId="20" fillId="0" borderId="7" xfId="10" applyFont="1" applyBorder="1" applyAlignment="1">
      <alignment horizontal="center" wrapText="1"/>
    </xf>
    <xf numFmtId="3" fontId="14" fillId="0" borderId="7" xfId="10" applyNumberFormat="1" applyFont="1" applyBorder="1" applyAlignment="1">
      <alignment horizontal="center" wrapText="1"/>
    </xf>
    <xf numFmtId="3" fontId="14" fillId="0" borderId="7" xfId="10" applyNumberFormat="1" applyFont="1" applyBorder="1" applyAlignment="1">
      <alignment horizontal="center"/>
    </xf>
    <xf numFmtId="3" fontId="14" fillId="0" borderId="7" xfId="10" applyNumberFormat="1" applyFont="1" applyFill="1" applyBorder="1" applyAlignment="1">
      <alignment horizontal="center" wrapText="1"/>
    </xf>
    <xf numFmtId="0" fontId="14" fillId="0" borderId="2" xfId="10" applyFont="1" applyFill="1" applyBorder="1"/>
    <xf numFmtId="4" fontId="14" fillId="0" borderId="4" xfId="10" applyNumberFormat="1" applyFont="1" applyBorder="1" applyAlignment="1">
      <alignment horizontal="center"/>
    </xf>
    <xf numFmtId="4" fontId="14" fillId="0" borderId="2" xfId="10" applyNumberFormat="1" applyFont="1" applyBorder="1" applyAlignment="1">
      <alignment horizontal="center"/>
    </xf>
    <xf numFmtId="4" fontId="20" fillId="0" borderId="7" xfId="10" applyNumberFormat="1" applyFont="1" applyBorder="1" applyAlignment="1">
      <alignment horizontal="center"/>
    </xf>
    <xf numFmtId="0" fontId="14" fillId="0" borderId="0" xfId="10" applyFont="1" applyFill="1" applyBorder="1"/>
    <xf numFmtId="3" fontId="14" fillId="0" borderId="0" xfId="10" applyNumberFormat="1" applyFont="1" applyBorder="1" applyAlignment="1">
      <alignment horizontal="center"/>
    </xf>
    <xf numFmtId="4" fontId="14" fillId="0" borderId="7" xfId="10" applyNumberFormat="1" applyFont="1" applyBorder="1" applyAlignment="1">
      <alignment horizontal="center"/>
    </xf>
    <xf numFmtId="0" fontId="14" fillId="0" borderId="1" xfId="10" applyFont="1" applyFill="1" applyBorder="1"/>
    <xf numFmtId="3" fontId="14" fillId="0" borderId="15" xfId="10" applyNumberFormat="1" applyFont="1" applyBorder="1" applyAlignment="1">
      <alignment horizontal="center"/>
    </xf>
    <xf numFmtId="3" fontId="14" fillId="0" borderId="1" xfId="10" applyNumberFormat="1" applyFont="1" applyBorder="1" applyAlignment="1">
      <alignment horizontal="center"/>
    </xf>
    <xf numFmtId="0" fontId="20" fillId="0" borderId="0" xfId="10" applyFont="1" applyBorder="1"/>
    <xf numFmtId="0" fontId="20" fillId="0" borderId="0" xfId="10" applyFont="1" applyFill="1" applyBorder="1" applyAlignment="1">
      <alignment horizontal="center" vertical="center" wrapText="1"/>
    </xf>
    <xf numFmtId="1" fontId="14" fillId="0" borderId="0" xfId="10" applyNumberFormat="1" applyFont="1" applyBorder="1" applyAlignment="1">
      <alignment horizontal="center"/>
    </xf>
    <xf numFmtId="0" fontId="14" fillId="0" borderId="0" xfId="10" quotePrefix="1" applyFont="1" applyFill="1" applyBorder="1" applyAlignment="1">
      <alignment horizontal="left"/>
    </xf>
    <xf numFmtId="1" fontId="14" fillId="0" borderId="0" xfId="10" applyNumberFormat="1" applyFont="1" applyBorder="1" applyAlignment="1">
      <alignment horizontal="left"/>
    </xf>
    <xf numFmtId="0" fontId="59" fillId="16" borderId="7" xfId="12" applyFont="1" applyFill="1" applyBorder="1" applyAlignment="1">
      <alignment horizontal="center"/>
    </xf>
    <xf numFmtId="0" fontId="60" fillId="16" borderId="0" xfId="7" applyFont="1" applyFill="1" applyAlignment="1">
      <alignment horizontal="center"/>
    </xf>
    <xf numFmtId="0" fontId="59" fillId="16" borderId="0" xfId="12" applyFont="1" applyFill="1" applyAlignment="1">
      <alignment horizontal="center"/>
    </xf>
    <xf numFmtId="0" fontId="20" fillId="15" borderId="0" xfId="10" applyFont="1" applyFill="1" applyBorder="1"/>
    <xf numFmtId="3" fontId="68" fillId="15" borderId="7" xfId="10" applyNumberFormat="1" applyFont="1" applyFill="1" applyBorder="1" applyAlignment="1">
      <alignment horizontal="center" wrapText="1"/>
    </xf>
    <xf numFmtId="3" fontId="68" fillId="15" borderId="0" xfId="10" applyNumberFormat="1" applyFont="1" applyFill="1" applyBorder="1" applyAlignment="1">
      <alignment horizontal="center" wrapText="1"/>
    </xf>
    <xf numFmtId="0" fontId="14" fillId="15" borderId="0" xfId="10" applyFont="1" applyFill="1" applyBorder="1"/>
    <xf numFmtId="3" fontId="14" fillId="15" borderId="7" xfId="10" quotePrefix="1" applyNumberFormat="1" applyFont="1" applyFill="1" applyBorder="1" applyAlignment="1">
      <alignment horizontal="center"/>
    </xf>
    <xf numFmtId="3" fontId="14" fillId="15" borderId="0" xfId="10" quotePrefix="1" applyNumberFormat="1" applyFont="1" applyFill="1" applyBorder="1" applyAlignment="1">
      <alignment horizontal="center"/>
    </xf>
    <xf numFmtId="0" fontId="14" fillId="18" borderId="0" xfId="10" applyFont="1" applyFill="1" applyBorder="1"/>
    <xf numFmtId="3" fontId="14" fillId="18" borderId="7" xfId="10" applyNumberFormat="1" applyFont="1" applyFill="1" applyBorder="1" applyAlignment="1">
      <alignment horizontal="center" wrapText="1"/>
    </xf>
    <xf numFmtId="3" fontId="14" fillId="18" borderId="0" xfId="10" applyNumberFormat="1" applyFont="1" applyFill="1" applyBorder="1" applyAlignment="1">
      <alignment horizontal="center" wrapText="1"/>
    </xf>
    <xf numFmtId="0" fontId="20" fillId="18" borderId="0" xfId="10" applyFont="1" applyFill="1" applyBorder="1"/>
    <xf numFmtId="4" fontId="20" fillId="18" borderId="7" xfId="10" applyNumberFormat="1" applyFont="1" applyFill="1" applyBorder="1" applyAlignment="1">
      <alignment horizontal="center" wrapText="1"/>
    </xf>
    <xf numFmtId="4" fontId="20" fillId="18" borderId="0" xfId="10" applyNumberFormat="1" applyFont="1" applyFill="1" applyBorder="1" applyAlignment="1">
      <alignment horizontal="center" wrapText="1"/>
    </xf>
    <xf numFmtId="0" fontId="14" fillId="17" borderId="0" xfId="10" applyFont="1" applyFill="1" applyBorder="1"/>
    <xf numFmtId="170" fontId="11" fillId="17" borderId="7" xfId="9" applyNumberFormat="1" applyFont="1" applyFill="1" applyBorder="1" applyAlignment="1">
      <alignment horizontal="center"/>
    </xf>
    <xf numFmtId="170" fontId="11" fillId="17" borderId="0" xfId="9" applyNumberFormat="1" applyFont="1" applyFill="1" applyBorder="1" applyAlignment="1">
      <alignment horizontal="center"/>
    </xf>
    <xf numFmtId="170" fontId="11" fillId="17" borderId="6" xfId="9" applyNumberFormat="1" applyFont="1" applyFill="1" applyBorder="1" applyAlignment="1">
      <alignment horizontal="center"/>
    </xf>
    <xf numFmtId="3" fontId="49" fillId="0" borderId="0" xfId="2" applyNumberFormat="1" applyFont="1" applyFill="1" applyAlignment="1">
      <alignment vertical="center"/>
    </xf>
    <xf numFmtId="0" fontId="14" fillId="0" borderId="18" xfId="7" applyFont="1" applyBorder="1"/>
    <xf numFmtId="0" fontId="14" fillId="0" borderId="21" xfId="7" applyFont="1" applyBorder="1"/>
    <xf numFmtId="0" fontId="14" fillId="0" borderId="18" xfId="7" applyFont="1" applyBorder="1" applyAlignment="1">
      <alignment horizontal="center"/>
    </xf>
    <xf numFmtId="0" fontId="14" fillId="0" borderId="3" xfId="7" applyFont="1" applyBorder="1" applyAlignment="1">
      <alignment horizontal="center"/>
    </xf>
    <xf numFmtId="0" fontId="14" fillId="0" borderId="21" xfId="7" applyFont="1" applyBorder="1" applyAlignment="1">
      <alignment horizontal="center"/>
    </xf>
    <xf numFmtId="0" fontId="20" fillId="0" borderId="4" xfId="7" applyFont="1" applyBorder="1" applyAlignment="1">
      <alignment horizontal="center" wrapText="1"/>
    </xf>
    <xf numFmtId="0" fontId="20" fillId="0" borderId="2" xfId="7" applyFont="1" applyBorder="1" applyAlignment="1">
      <alignment horizontal="center" wrapText="1"/>
    </xf>
    <xf numFmtId="0" fontId="20" fillId="0" borderId="5" xfId="7" applyFont="1" applyBorder="1" applyAlignment="1">
      <alignment horizontal="center" wrapText="1"/>
    </xf>
    <xf numFmtId="0" fontId="20" fillId="0" borderId="6" xfId="7" applyFont="1" applyBorder="1" applyAlignment="1">
      <alignment horizontal="center" vertical="center" wrapText="1"/>
    </xf>
    <xf numFmtId="0" fontId="14" fillId="0" borderId="6" xfId="12" applyFont="1" applyBorder="1"/>
    <xf numFmtId="0" fontId="14" fillId="0" borderId="0" xfId="12" applyFont="1" applyAlignment="1">
      <alignment horizontal="center" wrapText="1"/>
    </xf>
    <xf numFmtId="0" fontId="14" fillId="0" borderId="6" xfId="12" applyFont="1" applyBorder="1" applyAlignment="1">
      <alignment horizontal="center" wrapText="1"/>
    </xf>
    <xf numFmtId="3" fontId="14" fillId="0" borderId="6" xfId="13" applyNumberFormat="1" applyFont="1" applyBorder="1" applyAlignment="1">
      <alignment horizontal="right" wrapText="1" indent="1"/>
    </xf>
    <xf numFmtId="9" fontId="68" fillId="0" borderId="0" xfId="4" applyFont="1" applyFill="1" applyAlignment="1">
      <alignment horizontal="center"/>
    </xf>
    <xf numFmtId="0" fontId="68" fillId="0" borderId="0" xfId="7" applyFont="1" applyAlignment="1">
      <alignment horizontal="center"/>
    </xf>
    <xf numFmtId="176" fontId="14" fillId="0" borderId="6" xfId="17" applyNumberFormat="1" applyFont="1" applyFill="1" applyBorder="1" applyAlignment="1">
      <alignment horizontal="left" indent="2"/>
    </xf>
    <xf numFmtId="0" fontId="68" fillId="0" borderId="0" xfId="12" applyFont="1" applyAlignment="1">
      <alignment horizontal="center"/>
    </xf>
    <xf numFmtId="0" fontId="70" fillId="0" borderId="0" xfId="12" applyFont="1" applyAlignment="1">
      <alignment horizontal="center"/>
    </xf>
    <xf numFmtId="3" fontId="14" fillId="0" borderId="14" xfId="12" applyNumberFormat="1" applyFont="1" applyBorder="1" applyAlignment="1">
      <alignment horizontal="center" wrapText="1"/>
    </xf>
    <xf numFmtId="9" fontId="72" fillId="0" borderId="0" xfId="28" applyNumberFormat="1" applyFont="1" applyFill="1" applyAlignment="1">
      <alignment horizontal="center"/>
    </xf>
    <xf numFmtId="0" fontId="68" fillId="0" borderId="0" xfId="7" applyFont="1" applyAlignment="1">
      <alignment horizontal="left"/>
    </xf>
    <xf numFmtId="9" fontId="11" fillId="0" borderId="0" xfId="29" applyNumberFormat="1" applyFill="1"/>
    <xf numFmtId="9" fontId="73" fillId="0" borderId="0" xfId="30" applyNumberFormat="1" applyFill="1"/>
    <xf numFmtId="0" fontId="14" fillId="0" borderId="21" xfId="10" applyFont="1" applyBorder="1" applyAlignment="1">
      <alignment horizontal="center"/>
    </xf>
    <xf numFmtId="0" fontId="14" fillId="0" borderId="7" xfId="10" applyFont="1" applyBorder="1" applyAlignment="1">
      <alignment horizontal="center"/>
    </xf>
    <xf numFmtId="0" fontId="20" fillId="0" borderId="6" xfId="10" applyFont="1" applyBorder="1" applyAlignment="1">
      <alignment vertical="center"/>
    </xf>
    <xf numFmtId="0" fontId="20" fillId="0" borderId="7" xfId="10" applyFont="1" applyFill="1" applyBorder="1" applyAlignment="1">
      <alignment horizontal="center" vertical="center" wrapText="1"/>
    </xf>
    <xf numFmtId="0" fontId="20" fillId="0" borderId="6" xfId="10" applyFont="1" applyFill="1" applyBorder="1" applyAlignment="1">
      <alignment horizontal="center" vertical="center" wrapText="1"/>
    </xf>
    <xf numFmtId="0" fontId="20" fillId="0" borderId="5" xfId="10" applyFont="1" applyFill="1" applyBorder="1" applyAlignment="1">
      <alignment horizontal="center" wrapText="1"/>
    </xf>
    <xf numFmtId="4" fontId="14" fillId="0" borderId="0" xfId="10" applyNumberFormat="1" applyFont="1" applyBorder="1" applyAlignment="1">
      <alignment horizontal="center" wrapText="1"/>
    </xf>
    <xf numFmtId="4" fontId="14" fillId="0" borderId="6" xfId="10" applyNumberFormat="1" applyFont="1" applyBorder="1" applyAlignment="1">
      <alignment horizontal="center" wrapText="1"/>
    </xf>
    <xf numFmtId="4" fontId="18" fillId="0" borderId="4" xfId="10" applyNumberFormat="1" applyFont="1" applyFill="1" applyBorder="1" applyAlignment="1">
      <alignment horizontal="center"/>
    </xf>
    <xf numFmtId="4" fontId="18" fillId="0" borderId="2" xfId="10" applyNumberFormat="1" applyFont="1" applyFill="1" applyBorder="1" applyAlignment="1">
      <alignment horizontal="center"/>
    </xf>
    <xf numFmtId="3" fontId="18" fillId="0" borderId="7" xfId="10" applyNumberFormat="1" applyFont="1" applyFill="1" applyBorder="1" applyAlignment="1">
      <alignment horizontal="center"/>
    </xf>
    <xf numFmtId="3" fontId="18" fillId="0" borderId="0" xfId="10" applyNumberFormat="1" applyFont="1" applyFill="1" applyBorder="1" applyAlignment="1">
      <alignment horizontal="center"/>
    </xf>
    <xf numFmtId="4" fontId="14" fillId="0" borderId="7" xfId="10" applyNumberFormat="1" applyFont="1" applyFill="1" applyBorder="1" applyAlignment="1">
      <alignment horizontal="center"/>
    </xf>
    <xf numFmtId="3" fontId="14" fillId="0" borderId="14" xfId="10" applyNumberFormat="1" applyFont="1" applyBorder="1" applyAlignment="1">
      <alignment horizontal="center"/>
    </xf>
    <xf numFmtId="3" fontId="14" fillId="0" borderId="15" xfId="10" applyNumberFormat="1" applyFont="1" applyFill="1" applyBorder="1" applyAlignment="1">
      <alignment horizontal="center"/>
    </xf>
    <xf numFmtId="3" fontId="14" fillId="0" borderId="1" xfId="10" applyNumberFormat="1" applyFont="1" applyFill="1" applyBorder="1" applyAlignment="1">
      <alignment horizontal="center"/>
    </xf>
    <xf numFmtId="0" fontId="14" fillId="0" borderId="0" xfId="10" applyFont="1" applyFill="1" applyBorder="1" applyAlignment="1">
      <alignment horizontal="center"/>
    </xf>
    <xf numFmtId="4" fontId="66" fillId="0" borderId="0" xfId="10" applyNumberFormat="1" applyFont="1" applyFill="1" applyBorder="1" applyAlignment="1">
      <alignment horizontal="center" vertical="center" wrapText="1"/>
    </xf>
    <xf numFmtId="2" fontId="14" fillId="0" borderId="0" xfId="10" applyNumberFormat="1" applyFont="1" applyBorder="1" applyAlignment="1">
      <alignment horizontal="center"/>
    </xf>
    <xf numFmtId="0" fontId="66" fillId="0" borderId="0" xfId="7" applyFont="1" applyAlignment="1">
      <alignment horizontal="center"/>
    </xf>
    <xf numFmtId="0" fontId="20" fillId="0" borderId="4" xfId="7" applyFont="1" applyBorder="1" applyAlignment="1">
      <alignment horizontal="center"/>
    </xf>
    <xf numFmtId="0" fontId="20" fillId="0" borderId="2" xfId="7" applyFont="1" applyBorder="1" applyAlignment="1">
      <alignment horizontal="center"/>
    </xf>
    <xf numFmtId="0" fontId="20" fillId="0" borderId="5" xfId="7" applyFont="1" applyBorder="1" applyAlignment="1">
      <alignment horizontal="center"/>
    </xf>
    <xf numFmtId="0" fontId="20" fillId="0" borderId="6" xfId="7" applyFont="1" applyBorder="1" applyAlignment="1">
      <alignment horizontal="center" vertical="center"/>
    </xf>
    <xf numFmtId="0" fontId="14" fillId="0" borderId="5" xfId="7" applyFont="1" applyBorder="1"/>
    <xf numFmtId="180" fontId="68" fillId="0" borderId="0" xfId="7" applyNumberFormat="1" applyFont="1" applyAlignment="1">
      <alignment horizontal="center"/>
    </xf>
    <xf numFmtId="180" fontId="68" fillId="0" borderId="0" xfId="10" applyNumberFormat="1" applyFont="1" applyFill="1" applyBorder="1" applyAlignment="1">
      <alignment horizontal="center" wrapText="1"/>
    </xf>
    <xf numFmtId="180" fontId="18" fillId="0" borderId="0" xfId="10" applyNumberFormat="1" applyFont="1" applyFill="1" applyBorder="1" applyAlignment="1">
      <alignment horizontal="center" wrapText="1"/>
    </xf>
    <xf numFmtId="3" fontId="68" fillId="0" borderId="0" xfId="10" applyNumberFormat="1" applyFont="1" applyFill="1" applyBorder="1" applyAlignment="1">
      <alignment horizontal="center" vertical="center" wrapText="1"/>
    </xf>
    <xf numFmtId="3" fontId="68" fillId="0" borderId="0" xfId="10" applyNumberFormat="1" applyFont="1" applyFill="1" applyBorder="1" applyAlignment="1">
      <alignment horizontal="center" wrapText="1"/>
    </xf>
    <xf numFmtId="170" fontId="68" fillId="0" borderId="0" xfId="15" applyNumberFormat="1" applyFont="1" applyFill="1" applyBorder="1" applyAlignment="1">
      <alignment horizontal="center"/>
    </xf>
    <xf numFmtId="0" fontId="14" fillId="0" borderId="5" xfId="7" applyFont="1" applyBorder="1" applyAlignment="1">
      <alignment horizontal="center"/>
    </xf>
    <xf numFmtId="170" fontId="14" fillId="0" borderId="2" xfId="15" applyNumberFormat="1" applyFont="1" applyFill="1" applyBorder="1" applyAlignment="1">
      <alignment horizontal="center"/>
    </xf>
    <xf numFmtId="170" fontId="14" fillId="0" borderId="4" xfId="15" applyNumberFormat="1" applyFont="1" applyFill="1" applyBorder="1" applyAlignment="1">
      <alignment horizontal="center"/>
    </xf>
    <xf numFmtId="170" fontId="14" fillId="0" borderId="5" xfId="15" applyNumberFormat="1" applyFont="1" applyFill="1" applyBorder="1" applyAlignment="1">
      <alignment horizontal="center"/>
    </xf>
    <xf numFmtId="0" fontId="14" fillId="0" borderId="6" xfId="7" applyFont="1" applyBorder="1" applyAlignment="1">
      <alignment horizontal="center"/>
    </xf>
    <xf numFmtId="9" fontId="68" fillId="0" borderId="0" xfId="7" applyNumberFormat="1" applyFont="1" applyAlignment="1">
      <alignment horizontal="center" wrapText="1"/>
    </xf>
    <xf numFmtId="170" fontId="68" fillId="0" borderId="0" xfId="7" applyNumberFormat="1" applyFont="1" applyAlignment="1">
      <alignment horizontal="center" wrapText="1"/>
    </xf>
    <xf numFmtId="9" fontId="68" fillId="0" borderId="0" xfId="9" applyFont="1" applyFill="1" applyBorder="1" applyAlignment="1">
      <alignment horizontal="center"/>
    </xf>
    <xf numFmtId="9" fontId="68" fillId="0" borderId="0" xfId="9" applyFont="1" applyFill="1" applyBorder="1" applyAlignment="1">
      <alignment horizontal="center" vertical="center"/>
    </xf>
    <xf numFmtId="172" fontId="61" fillId="0" borderId="0" xfId="7" applyNumberFormat="1" applyFont="1" applyAlignment="1">
      <alignment horizontal="center"/>
    </xf>
    <xf numFmtId="175" fontId="14" fillId="0" borderId="0" xfId="7" applyNumberFormat="1" applyFont="1" applyAlignment="1">
      <alignment horizontal="center"/>
    </xf>
    <xf numFmtId="171" fontId="61" fillId="0" borderId="0" xfId="7" applyNumberFormat="1" applyFont="1" applyAlignment="1">
      <alignment horizontal="center"/>
    </xf>
    <xf numFmtId="3" fontId="68" fillId="0" borderId="0" xfId="7" applyNumberFormat="1" applyFont="1" applyAlignment="1">
      <alignment horizontal="center"/>
    </xf>
    <xf numFmtId="10" fontId="61" fillId="0" borderId="0" xfId="9" applyNumberFormat="1" applyFont="1" applyFill="1" applyBorder="1" applyAlignment="1">
      <alignment horizontal="center"/>
    </xf>
    <xf numFmtId="3" fontId="63" fillId="0" borderId="0" xfId="16" applyNumberFormat="1" applyFont="1" applyFill="1" applyBorder="1" applyAlignment="1">
      <alignment horizontal="center"/>
    </xf>
    <xf numFmtId="2" fontId="14" fillId="0" borderId="0" xfId="12" applyNumberFormat="1" applyFont="1" applyAlignment="1">
      <alignment horizontal="center"/>
    </xf>
    <xf numFmtId="37" fontId="14" fillId="0" borderId="0" xfId="16" applyNumberFormat="1" applyFont="1" applyFill="1" applyBorder="1" applyAlignment="1">
      <alignment horizontal="center"/>
    </xf>
    <xf numFmtId="3" fontId="14" fillId="0" borderId="0" xfId="12" applyNumberFormat="1" applyFont="1" applyAlignment="1">
      <alignment horizontal="center"/>
    </xf>
    <xf numFmtId="2" fontId="63" fillId="0" borderId="0" xfId="12" applyNumberFormat="1" applyFont="1" applyAlignment="1">
      <alignment horizontal="center"/>
    </xf>
    <xf numFmtId="0" fontId="14" fillId="0" borderId="5" xfId="7" applyFont="1" applyBorder="1" applyAlignment="1">
      <alignment horizontal="center" vertical="top"/>
    </xf>
    <xf numFmtId="170" fontId="14" fillId="0" borderId="2" xfId="9" applyNumberFormat="1" applyFont="1" applyFill="1" applyBorder="1" applyAlignment="1">
      <alignment horizontal="center"/>
    </xf>
    <xf numFmtId="170" fontId="14" fillId="0" borderId="5" xfId="9" applyNumberFormat="1" applyFont="1" applyFill="1" applyBorder="1" applyAlignment="1">
      <alignment horizontal="center"/>
    </xf>
    <xf numFmtId="0" fontId="14" fillId="0" borderId="6" xfId="7" applyFont="1" applyBorder="1" applyAlignment="1">
      <alignment horizontal="center" vertical="top"/>
    </xf>
    <xf numFmtId="170" fontId="14" fillId="0" borderId="0" xfId="9" applyNumberFormat="1" applyFont="1" applyFill="1" applyAlignment="1">
      <alignment horizontal="center"/>
    </xf>
    <xf numFmtId="10" fontId="68" fillId="0" borderId="0" xfId="9" applyNumberFormat="1" applyFont="1" applyFill="1" applyBorder="1" applyAlignment="1">
      <alignment horizontal="center" wrapText="1"/>
    </xf>
    <xf numFmtId="10" fontId="14" fillId="0" borderId="0" xfId="7" applyNumberFormat="1" applyFont="1"/>
    <xf numFmtId="169" fontId="57" fillId="0" borderId="0" xfId="24" applyFont="1"/>
    <xf numFmtId="169" fontId="57" fillId="0" borderId="0" xfId="7" applyNumberFormat="1" applyFont="1"/>
    <xf numFmtId="3" fontId="68" fillId="0" borderId="0" xfId="10" applyNumberFormat="1" applyFont="1" applyFill="1" applyBorder="1" applyAlignment="1">
      <alignment horizontal="center"/>
    </xf>
    <xf numFmtId="3" fontId="14" fillId="0" borderId="0" xfId="10" applyNumberFormat="1" applyFont="1" applyFill="1" applyBorder="1" applyAlignment="1">
      <alignment horizontal="center"/>
    </xf>
    <xf numFmtId="168" fontId="14" fillId="0" borderId="0" xfId="27" applyFont="1"/>
    <xf numFmtId="168" fontId="14" fillId="0" borderId="0" xfId="27" applyFont="1" applyBorder="1"/>
    <xf numFmtId="168" fontId="14" fillId="0" borderId="0" xfId="27" applyFont="1" applyFill="1" applyBorder="1"/>
    <xf numFmtId="1" fontId="20" fillId="15" borderId="6" xfId="17" applyNumberFormat="1" applyFont="1" applyFill="1" applyBorder="1" applyAlignment="1">
      <alignment horizontal="center"/>
    </xf>
    <xf numFmtId="10" fontId="14" fillId="15" borderId="0" xfId="7" applyNumberFormat="1" applyFont="1" applyFill="1" applyAlignment="1">
      <alignment horizontal="center" vertical="center"/>
    </xf>
    <xf numFmtId="0" fontId="14" fillId="15" borderId="0" xfId="12" applyFont="1" applyFill="1" applyAlignment="1">
      <alignment horizontal="left" vertical="center"/>
    </xf>
    <xf numFmtId="3" fontId="68" fillId="15" borderId="7" xfId="13" applyNumberFormat="1" applyFont="1" applyFill="1" applyBorder="1" applyAlignment="1">
      <alignment horizontal="center" vertical="center" wrapText="1"/>
    </xf>
    <xf numFmtId="3" fontId="68" fillId="15" borderId="0" xfId="13" applyNumberFormat="1" applyFont="1" applyFill="1" applyAlignment="1">
      <alignment horizontal="center" vertical="center" wrapText="1"/>
    </xf>
    <xf numFmtId="3" fontId="68" fillId="15" borderId="6" xfId="13" applyNumberFormat="1" applyFont="1" applyFill="1" applyBorder="1" applyAlignment="1">
      <alignment horizontal="center" vertical="center" wrapText="1"/>
    </xf>
    <xf numFmtId="0" fontId="14" fillId="15" borderId="0" xfId="12" applyFont="1" applyFill="1" applyAlignment="1">
      <alignment horizontal="center"/>
    </xf>
    <xf numFmtId="3" fontId="68" fillId="15" borderId="6" xfId="13" applyNumberFormat="1" applyFont="1" applyFill="1" applyBorder="1" applyAlignment="1">
      <alignment horizontal="center" wrapText="1"/>
    </xf>
    <xf numFmtId="3" fontId="14" fillId="15" borderId="7" xfId="13" applyNumberFormat="1" applyFont="1" applyFill="1" applyBorder="1" applyAlignment="1">
      <alignment horizontal="center" wrapText="1"/>
    </xf>
    <xf numFmtId="3" fontId="14" fillId="15" borderId="0" xfId="13" applyNumberFormat="1" applyFont="1" applyFill="1" applyAlignment="1">
      <alignment horizontal="center" wrapText="1"/>
    </xf>
    <xf numFmtId="3" fontId="14" fillId="15" borderId="6" xfId="13" applyNumberFormat="1" applyFont="1" applyFill="1" applyBorder="1" applyAlignment="1">
      <alignment horizontal="center" wrapText="1"/>
    </xf>
    <xf numFmtId="176" fontId="14" fillId="15" borderId="6" xfId="17" applyNumberFormat="1" applyFont="1" applyFill="1" applyBorder="1" applyAlignment="1">
      <alignment horizontal="left" indent="2"/>
    </xf>
    <xf numFmtId="3" fontId="68" fillId="15" borderId="7" xfId="7" applyNumberFormat="1" applyFont="1" applyFill="1" applyBorder="1" applyAlignment="1">
      <alignment horizontal="center"/>
    </xf>
    <xf numFmtId="3" fontId="68" fillId="15" borderId="6" xfId="7" applyNumberFormat="1" applyFont="1" applyFill="1" applyBorder="1" applyAlignment="1">
      <alignment horizontal="center"/>
    </xf>
    <xf numFmtId="0" fontId="14" fillId="18" borderId="0" xfId="12" applyFont="1" applyFill="1" applyAlignment="1">
      <alignment horizontal="left" indent="2"/>
    </xf>
    <xf numFmtId="3" fontId="14" fillId="18" borderId="6" xfId="13" applyNumberFormat="1" applyFont="1" applyFill="1" applyBorder="1" applyAlignment="1">
      <alignment horizontal="center" wrapText="1"/>
    </xf>
    <xf numFmtId="0" fontId="14" fillId="18" borderId="6" xfId="12" applyFont="1" applyFill="1" applyBorder="1" applyAlignment="1">
      <alignment horizontal="left" indent="2"/>
    </xf>
    <xf numFmtId="3" fontId="20" fillId="18" borderId="6" xfId="12" applyNumberFormat="1" applyFont="1" applyFill="1" applyBorder="1" applyAlignment="1">
      <alignment horizontal="center" wrapText="1"/>
    </xf>
    <xf numFmtId="176" fontId="20" fillId="18" borderId="6" xfId="17" applyNumberFormat="1" applyFont="1" applyFill="1" applyBorder="1" applyAlignment="1">
      <alignment horizontal="left" indent="2"/>
    </xf>
    <xf numFmtId="0" fontId="20" fillId="18" borderId="6" xfId="12" applyFont="1" applyFill="1" applyBorder="1"/>
    <xf numFmtId="176" fontId="14" fillId="18" borderId="6" xfId="17" applyNumberFormat="1" applyFont="1" applyFill="1" applyBorder="1" applyAlignment="1">
      <alignment horizontal="left" indent="2"/>
    </xf>
    <xf numFmtId="0" fontId="20" fillId="18" borderId="0" xfId="7" applyFont="1" applyFill="1" applyAlignment="1">
      <alignment horizontal="right" indent="5"/>
    </xf>
    <xf numFmtId="176" fontId="21" fillId="18" borderId="6" xfId="17" applyNumberFormat="1" applyFont="1" applyFill="1" applyBorder="1" applyAlignment="1">
      <alignment horizontal="left" indent="2"/>
    </xf>
    <xf numFmtId="3" fontId="21" fillId="18" borderId="6" xfId="12" applyNumberFormat="1" applyFont="1" applyFill="1" applyBorder="1" applyAlignment="1">
      <alignment horizontal="center" wrapText="1"/>
    </xf>
    <xf numFmtId="176" fontId="14" fillId="17" borderId="6" xfId="17" applyNumberFormat="1" applyFont="1" applyFill="1" applyBorder="1" applyAlignment="1">
      <alignment horizontal="left" indent="2"/>
    </xf>
    <xf numFmtId="3" fontId="68" fillId="17" borderId="7" xfId="13" applyNumberFormat="1" applyFont="1" applyFill="1" applyBorder="1" applyAlignment="1">
      <alignment horizontal="center" wrapText="1"/>
    </xf>
    <xf numFmtId="3" fontId="68" fillId="17" borderId="0" xfId="13" applyNumberFormat="1" applyFont="1" applyFill="1" applyAlignment="1">
      <alignment horizontal="center" wrapText="1"/>
    </xf>
    <xf numFmtId="3" fontId="68" fillId="17" borderId="6" xfId="13" applyNumberFormat="1" applyFont="1" applyFill="1" applyBorder="1" applyAlignment="1">
      <alignment horizontal="center" wrapText="1"/>
    </xf>
    <xf numFmtId="0" fontId="29" fillId="16" borderId="6" xfId="12" applyFont="1" applyFill="1" applyBorder="1"/>
    <xf numFmtId="0" fontId="29" fillId="16" borderId="7" xfId="12" applyFont="1" applyFill="1" applyBorder="1" applyAlignment="1">
      <alignment horizontal="center" wrapText="1"/>
    </xf>
    <xf numFmtId="0" fontId="29" fillId="16" borderId="0" xfId="12" applyFont="1" applyFill="1" applyAlignment="1">
      <alignment horizontal="center" wrapText="1"/>
    </xf>
    <xf numFmtId="0" fontId="29" fillId="16" borderId="6" xfId="12" applyFont="1" applyFill="1" applyBorder="1" applyAlignment="1">
      <alignment horizontal="center" wrapText="1"/>
    </xf>
    <xf numFmtId="0" fontId="28" fillId="16" borderId="0" xfId="12" applyFont="1" applyFill="1" applyAlignment="1">
      <alignment horizontal="center"/>
    </xf>
    <xf numFmtId="0" fontId="29" fillId="16" borderId="0" xfId="7" applyFont="1" applyFill="1" applyAlignment="1">
      <alignment horizontal="center"/>
    </xf>
    <xf numFmtId="0" fontId="28" fillId="16" borderId="7" xfId="12" applyFont="1" applyFill="1" applyBorder="1" applyAlignment="1">
      <alignment horizontal="center"/>
    </xf>
    <xf numFmtId="0" fontId="20" fillId="15" borderId="6" xfId="10" applyFont="1" applyFill="1" applyBorder="1"/>
    <xf numFmtId="0" fontId="14" fillId="15" borderId="6" xfId="10" applyFont="1" applyFill="1" applyBorder="1"/>
    <xf numFmtId="4" fontId="14" fillId="15" borderId="0" xfId="10" quotePrefix="1" applyNumberFormat="1" applyFont="1" applyFill="1" applyBorder="1" applyAlignment="1">
      <alignment horizontal="center"/>
    </xf>
    <xf numFmtId="4" fontId="68" fillId="15" borderId="7" xfId="10" applyNumberFormat="1" applyFont="1" applyFill="1" applyBorder="1" applyAlignment="1">
      <alignment horizontal="center"/>
    </xf>
    <xf numFmtId="4" fontId="68" fillId="15" borderId="0" xfId="10" applyNumberFormat="1" applyFont="1" applyFill="1" applyBorder="1" applyAlignment="1">
      <alignment horizontal="center"/>
    </xf>
    <xf numFmtId="0" fontId="21" fillId="15" borderId="6" xfId="10" applyFont="1" applyFill="1" applyBorder="1" applyAlignment="1">
      <alignment horizontal="left"/>
    </xf>
    <xf numFmtId="0" fontId="21" fillId="15" borderId="6" xfId="10" applyFont="1" applyFill="1" applyBorder="1" applyAlignment="1">
      <alignment wrapText="1"/>
    </xf>
    <xf numFmtId="3" fontId="68" fillId="15" borderId="0" xfId="10" quotePrefix="1" applyNumberFormat="1" applyFont="1" applyFill="1" applyBorder="1" applyAlignment="1">
      <alignment horizontal="center"/>
    </xf>
    <xf numFmtId="4" fontId="14" fillId="15" borderId="7" xfId="10" quotePrefix="1" applyNumberFormat="1" applyFont="1" applyFill="1" applyBorder="1" applyAlignment="1">
      <alignment horizontal="center"/>
    </xf>
    <xf numFmtId="0" fontId="14" fillId="15" borderId="6" xfId="7" applyFont="1" applyFill="1" applyBorder="1"/>
    <xf numFmtId="0" fontId="20" fillId="15" borderId="7" xfId="7" applyFont="1" applyFill="1" applyBorder="1" applyAlignment="1">
      <alignment horizontal="center" wrapText="1"/>
    </xf>
    <xf numFmtId="0" fontId="20" fillId="15" borderId="0" xfId="7" applyFont="1" applyFill="1" applyAlignment="1">
      <alignment horizontal="center" wrapText="1"/>
    </xf>
    <xf numFmtId="0" fontId="20" fillId="15" borderId="6" xfId="7" applyFont="1" applyFill="1" applyBorder="1" applyAlignment="1">
      <alignment horizontal="center" wrapText="1"/>
    </xf>
    <xf numFmtId="0" fontId="14" fillId="15" borderId="6" xfId="7" applyFont="1" applyFill="1" applyBorder="1" applyAlignment="1">
      <alignment horizontal="center"/>
    </xf>
    <xf numFmtId="180" fontId="68" fillId="15" borderId="0" xfId="10" applyNumberFormat="1" applyFont="1" applyFill="1" applyBorder="1" applyAlignment="1">
      <alignment horizontal="center" wrapText="1"/>
    </xf>
    <xf numFmtId="180" fontId="68" fillId="15" borderId="7" xfId="10" applyNumberFormat="1" applyFont="1" applyFill="1" applyBorder="1" applyAlignment="1">
      <alignment horizontal="center" wrapText="1"/>
    </xf>
    <xf numFmtId="180" fontId="68" fillId="15" borderId="6" xfId="10" applyNumberFormat="1" applyFont="1" applyFill="1" applyBorder="1" applyAlignment="1">
      <alignment horizontal="center" wrapText="1"/>
    </xf>
    <xf numFmtId="180" fontId="18" fillId="15" borderId="7" xfId="10" applyNumberFormat="1" applyFont="1" applyFill="1" applyBorder="1" applyAlignment="1">
      <alignment horizontal="center" wrapText="1"/>
    </xf>
    <xf numFmtId="180" fontId="18" fillId="15" borderId="0" xfId="10" applyNumberFormat="1" applyFont="1" applyFill="1" applyBorder="1" applyAlignment="1">
      <alignment horizontal="center" wrapText="1"/>
    </xf>
    <xf numFmtId="180" fontId="18" fillId="15" borderId="6" xfId="10" applyNumberFormat="1" applyFont="1" applyFill="1" applyBorder="1" applyAlignment="1">
      <alignment horizontal="center" wrapText="1"/>
    </xf>
    <xf numFmtId="3" fontId="68" fillId="15" borderId="0" xfId="10" applyNumberFormat="1" applyFont="1" applyFill="1" applyBorder="1" applyAlignment="1">
      <alignment horizontal="center" vertical="center" wrapText="1"/>
    </xf>
    <xf numFmtId="3" fontId="14" fillId="15" borderId="7" xfId="10" applyNumberFormat="1" applyFont="1" applyFill="1" applyBorder="1" applyAlignment="1">
      <alignment horizontal="center" vertical="center" wrapText="1"/>
    </xf>
    <xf numFmtId="3" fontId="14" fillId="15" borderId="0" xfId="10" applyNumberFormat="1" applyFont="1" applyFill="1" applyBorder="1" applyAlignment="1">
      <alignment horizontal="center" vertical="center" wrapText="1"/>
    </xf>
    <xf numFmtId="3" fontId="14" fillId="15" borderId="6" xfId="10" applyNumberFormat="1" applyFont="1" applyFill="1" applyBorder="1" applyAlignment="1">
      <alignment horizontal="center" vertical="center" wrapText="1"/>
    </xf>
    <xf numFmtId="3" fontId="68" fillId="15" borderId="7" xfId="10" applyNumberFormat="1" applyFont="1" applyFill="1" applyBorder="1" applyAlignment="1">
      <alignment horizontal="center" vertical="center" wrapText="1"/>
    </xf>
    <xf numFmtId="3" fontId="68" fillId="15" borderId="6" xfId="10" applyNumberFormat="1" applyFont="1" applyFill="1" applyBorder="1" applyAlignment="1">
      <alignment horizontal="center" vertical="center" wrapText="1"/>
    </xf>
    <xf numFmtId="3" fontId="68" fillId="15" borderId="6" xfId="10" applyNumberFormat="1" applyFont="1" applyFill="1" applyBorder="1" applyAlignment="1">
      <alignment horizontal="center" wrapText="1"/>
    </xf>
    <xf numFmtId="0" fontId="14" fillId="15" borderId="6" xfId="7" applyFont="1" applyFill="1" applyBorder="1" applyAlignment="1">
      <alignment horizontal="center" vertical="center"/>
    </xf>
    <xf numFmtId="170" fontId="68" fillId="15" borderId="0" xfId="15" applyNumberFormat="1" applyFont="1" applyFill="1" applyBorder="1" applyAlignment="1">
      <alignment horizontal="center"/>
    </xf>
    <xf numFmtId="170" fontId="68" fillId="15" borderId="7" xfId="15" applyNumberFormat="1" applyFont="1" applyFill="1" applyBorder="1" applyAlignment="1">
      <alignment horizontal="center"/>
    </xf>
    <xf numFmtId="170" fontId="68" fillId="15" borderId="6" xfId="15" applyNumberFormat="1" applyFont="1" applyFill="1" applyBorder="1" applyAlignment="1">
      <alignment horizontal="center"/>
    </xf>
    <xf numFmtId="9" fontId="68" fillId="15" borderId="0" xfId="7" applyNumberFormat="1" applyFont="1" applyFill="1" applyAlignment="1">
      <alignment horizontal="center" wrapText="1"/>
    </xf>
    <xf numFmtId="9" fontId="68" fillId="15" borderId="7" xfId="7" applyNumberFormat="1" applyFont="1" applyFill="1" applyBorder="1" applyAlignment="1">
      <alignment horizontal="center" wrapText="1"/>
    </xf>
    <xf numFmtId="9" fontId="68" fillId="15" borderId="6" xfId="7" applyNumberFormat="1" applyFont="1" applyFill="1" applyBorder="1" applyAlignment="1">
      <alignment horizontal="center" wrapText="1"/>
    </xf>
    <xf numFmtId="170" fontId="68" fillId="15" borderId="0" xfId="7" applyNumberFormat="1" applyFont="1" applyFill="1" applyAlignment="1">
      <alignment horizontal="center" wrapText="1"/>
    </xf>
    <xf numFmtId="170" fontId="68" fillId="15" borderId="7" xfId="7" applyNumberFormat="1" applyFont="1" applyFill="1" applyBorder="1" applyAlignment="1">
      <alignment horizontal="center" wrapText="1"/>
    </xf>
    <xf numFmtId="170" fontId="68" fillId="15" borderId="6" xfId="7" applyNumberFormat="1" applyFont="1" applyFill="1" applyBorder="1" applyAlignment="1">
      <alignment horizontal="center" wrapText="1"/>
    </xf>
    <xf numFmtId="172" fontId="14" fillId="15" borderId="6" xfId="7" applyNumberFormat="1" applyFont="1" applyFill="1" applyBorder="1" applyAlignment="1">
      <alignment horizontal="center" vertical="top" wrapText="1"/>
    </xf>
    <xf numFmtId="9" fontId="68" fillId="15" borderId="0" xfId="9" applyFont="1" applyFill="1" applyAlignment="1">
      <alignment horizontal="center"/>
    </xf>
    <xf numFmtId="9" fontId="68" fillId="15" borderId="7" xfId="9" applyFont="1" applyFill="1" applyBorder="1" applyAlignment="1">
      <alignment horizontal="center"/>
    </xf>
    <xf numFmtId="9" fontId="68" fillId="15" borderId="0" xfId="9" applyFont="1" applyFill="1" applyBorder="1" applyAlignment="1">
      <alignment horizontal="center"/>
    </xf>
    <xf numFmtId="9" fontId="68" fillId="15" borderId="6" xfId="9" applyFont="1" applyFill="1" applyBorder="1" applyAlignment="1">
      <alignment horizontal="center"/>
    </xf>
    <xf numFmtId="172" fontId="14" fillId="15" borderId="6" xfId="7" applyNumberFormat="1" applyFont="1" applyFill="1" applyBorder="1" applyAlignment="1">
      <alignment horizontal="center" vertical="center" wrapText="1"/>
    </xf>
    <xf numFmtId="9" fontId="68" fillId="15" borderId="0" xfId="9" applyFont="1" applyFill="1" applyAlignment="1">
      <alignment horizontal="center" vertical="center"/>
    </xf>
    <xf numFmtId="9" fontId="68" fillId="15" borderId="0" xfId="9" applyFont="1" applyFill="1" applyBorder="1" applyAlignment="1">
      <alignment horizontal="center" vertical="center"/>
    </xf>
    <xf numFmtId="9" fontId="68" fillId="15" borderId="6" xfId="9" applyFont="1" applyFill="1" applyBorder="1" applyAlignment="1">
      <alignment horizontal="center" vertical="center"/>
    </xf>
    <xf numFmtId="0" fontId="14" fillId="15" borderId="6" xfId="7" applyFont="1" applyFill="1" applyBorder="1" applyAlignment="1">
      <alignment horizontal="center" wrapText="1"/>
    </xf>
    <xf numFmtId="0" fontId="14" fillId="15" borderId="6" xfId="7" applyFont="1" applyFill="1" applyBorder="1" applyAlignment="1">
      <alignment horizontal="center" vertical="top"/>
    </xf>
    <xf numFmtId="10" fontId="68" fillId="15" borderId="0" xfId="9" applyNumberFormat="1" applyFont="1" applyFill="1" applyBorder="1" applyAlignment="1">
      <alignment horizontal="center" wrapText="1"/>
    </xf>
    <xf numFmtId="10" fontId="68" fillId="15" borderId="6" xfId="9" applyNumberFormat="1" applyFont="1" applyFill="1" applyBorder="1" applyAlignment="1">
      <alignment horizontal="center" wrapText="1"/>
    </xf>
    <xf numFmtId="3" fontId="14" fillId="15" borderId="0" xfId="10" applyNumberFormat="1" applyFont="1" applyFill="1" applyBorder="1" applyAlignment="1">
      <alignment horizontal="center"/>
    </xf>
    <xf numFmtId="3" fontId="14" fillId="15" borderId="6" xfId="10" applyNumberFormat="1" applyFont="1" applyFill="1" applyBorder="1" applyAlignment="1">
      <alignment horizontal="center"/>
    </xf>
    <xf numFmtId="3" fontId="68" fillId="15" borderId="0" xfId="10" applyNumberFormat="1" applyFont="1" applyFill="1" applyBorder="1" applyAlignment="1">
      <alignment horizontal="center"/>
    </xf>
    <xf numFmtId="3" fontId="68" fillId="15" borderId="6" xfId="10" applyNumberFormat="1" applyFont="1" applyFill="1" applyBorder="1" applyAlignment="1">
      <alignment horizontal="center"/>
    </xf>
    <xf numFmtId="0" fontId="14" fillId="15" borderId="5" xfId="7" applyFont="1" applyFill="1" applyBorder="1" applyAlignment="1">
      <alignment horizontal="center"/>
    </xf>
    <xf numFmtId="170" fontId="14" fillId="15" borderId="2" xfId="15" applyNumberFormat="1" applyFont="1" applyFill="1" applyBorder="1" applyAlignment="1">
      <alignment horizontal="center"/>
    </xf>
    <xf numFmtId="170" fontId="14" fillId="15" borderId="5" xfId="15" applyNumberFormat="1" applyFont="1" applyFill="1" applyBorder="1" applyAlignment="1">
      <alignment horizontal="center"/>
    </xf>
    <xf numFmtId="3" fontId="68" fillId="15" borderId="0" xfId="10" quotePrefix="1" applyNumberFormat="1" applyFont="1" applyFill="1" applyBorder="1" applyAlignment="1">
      <alignment horizontal="center" wrapText="1"/>
    </xf>
    <xf numFmtId="3" fontId="14" fillId="15" borderId="0" xfId="10" quotePrefix="1" applyNumberFormat="1" applyFont="1" applyFill="1" applyBorder="1" applyAlignment="1">
      <alignment horizontal="center" wrapText="1"/>
    </xf>
    <xf numFmtId="3" fontId="63" fillId="18" borderId="7" xfId="10" applyNumberFormat="1" applyFont="1" applyFill="1" applyBorder="1" applyAlignment="1">
      <alignment horizontal="center" wrapText="1"/>
    </xf>
    <xf numFmtId="3" fontId="63" fillId="18" borderId="0" xfId="10" applyNumberFormat="1" applyFont="1" applyFill="1" applyBorder="1" applyAlignment="1">
      <alignment horizontal="center" wrapText="1"/>
    </xf>
    <xf numFmtId="172" fontId="14" fillId="17" borderId="6" xfId="7" applyNumberFormat="1" applyFont="1" applyFill="1" applyBorder="1" applyAlignment="1">
      <alignment horizontal="center" vertical="top" wrapText="1"/>
    </xf>
    <xf numFmtId="0" fontId="14" fillId="17" borderId="6" xfId="7" applyFont="1" applyFill="1" applyBorder="1" applyAlignment="1">
      <alignment horizontal="center" vertical="top"/>
    </xf>
    <xf numFmtId="172" fontId="61" fillId="17" borderId="0" xfId="7" applyNumberFormat="1" applyFont="1" applyFill="1" applyAlignment="1">
      <alignment horizontal="center"/>
    </xf>
    <xf numFmtId="172" fontId="61" fillId="17" borderId="6" xfId="7" applyNumberFormat="1" applyFont="1" applyFill="1" applyBorder="1" applyAlignment="1">
      <alignment horizontal="center"/>
    </xf>
    <xf numFmtId="175" fontId="14" fillId="17" borderId="0" xfId="7" applyNumberFormat="1" applyFont="1" applyFill="1" applyAlignment="1">
      <alignment horizontal="center"/>
    </xf>
    <xf numFmtId="175" fontId="14" fillId="17" borderId="6" xfId="7" applyNumberFormat="1" applyFont="1" applyFill="1" applyBorder="1" applyAlignment="1">
      <alignment horizontal="center"/>
    </xf>
    <xf numFmtId="0" fontId="14" fillId="17" borderId="6" xfId="7" applyFont="1" applyFill="1" applyBorder="1" applyAlignment="1">
      <alignment horizontal="center" wrapText="1"/>
    </xf>
    <xf numFmtId="0" fontId="14" fillId="17" borderId="6" xfId="7" applyFont="1" applyFill="1" applyBorder="1" applyAlignment="1">
      <alignment horizontal="center"/>
    </xf>
    <xf numFmtId="2" fontId="63" fillId="17" borderId="0" xfId="12" applyNumberFormat="1" applyFont="1" applyFill="1" applyAlignment="1">
      <alignment horizontal="center"/>
    </xf>
    <xf numFmtId="2" fontId="63" fillId="17" borderId="7" xfId="12" applyNumberFormat="1" applyFont="1" applyFill="1" applyBorder="1" applyAlignment="1">
      <alignment horizontal="center"/>
    </xf>
    <xf numFmtId="2" fontId="63" fillId="17" borderId="6" xfId="12" applyNumberFormat="1" applyFont="1" applyFill="1" applyBorder="1" applyAlignment="1">
      <alignment horizontal="center"/>
    </xf>
    <xf numFmtId="170" fontId="62" fillId="17" borderId="0" xfId="9" applyNumberFormat="1" applyFont="1" applyFill="1" applyAlignment="1">
      <alignment horizontal="center"/>
    </xf>
    <xf numFmtId="170" fontId="62" fillId="17" borderId="6" xfId="9" applyNumberFormat="1" applyFont="1" applyFill="1" applyBorder="1" applyAlignment="1">
      <alignment horizontal="center"/>
    </xf>
    <xf numFmtId="0" fontId="14" fillId="17" borderId="0" xfId="7" applyFont="1" applyFill="1" applyBorder="1"/>
    <xf numFmtId="0" fontId="14" fillId="17" borderId="6" xfId="7" applyFont="1" applyFill="1" applyBorder="1"/>
    <xf numFmtId="37" fontId="49" fillId="17" borderId="0" xfId="13" applyNumberFormat="1" applyFont="1" applyFill="1" applyAlignment="1">
      <alignment horizontal="center" vertical="center"/>
    </xf>
    <xf numFmtId="37" fontId="49" fillId="17" borderId="7" xfId="24" applyNumberFormat="1" applyFont="1" applyFill="1" applyBorder="1" applyAlignment="1">
      <alignment horizontal="center" vertical="center"/>
    </xf>
    <xf numFmtId="37" fontId="49" fillId="17" borderId="0" xfId="24" applyNumberFormat="1" applyFont="1" applyFill="1" applyBorder="1" applyAlignment="1">
      <alignment horizontal="center" vertical="center"/>
    </xf>
    <xf numFmtId="37" fontId="49" fillId="17" borderId="6" xfId="24" applyNumberFormat="1" applyFont="1" applyFill="1" applyBorder="1" applyAlignment="1">
      <alignment horizontal="center" vertical="center"/>
    </xf>
    <xf numFmtId="37" fontId="49" fillId="17" borderId="6" xfId="13" applyNumberFormat="1" applyFont="1" applyFill="1" applyBorder="1" applyAlignment="1">
      <alignment horizontal="center" vertical="center"/>
    </xf>
    <xf numFmtId="1" fontId="50" fillId="23" borderId="16" xfId="17" applyNumberFormat="1" applyFont="1" applyFill="1" applyBorder="1" applyAlignment="1">
      <alignment horizontal="center"/>
    </xf>
    <xf numFmtId="1" fontId="50" fillId="23" borderId="0" xfId="17" applyNumberFormat="1" applyFont="1" applyFill="1" applyBorder="1" applyAlignment="1">
      <alignment horizontal="center"/>
    </xf>
    <xf numFmtId="1" fontId="50" fillId="23" borderId="17" xfId="17" applyNumberFormat="1" applyFont="1" applyFill="1" applyBorder="1" applyAlignment="1">
      <alignment horizontal="center"/>
    </xf>
    <xf numFmtId="4" fontId="14" fillId="0" borderId="4" xfId="10" applyNumberFormat="1" applyFont="1" applyFill="1" applyBorder="1" applyAlignment="1">
      <alignment horizontal="center"/>
    </xf>
    <xf numFmtId="4" fontId="14" fillId="0" borderId="2" xfId="10" applyNumberFormat="1" applyFont="1" applyFill="1" applyBorder="1" applyAlignment="1">
      <alignment horizontal="center"/>
    </xf>
    <xf numFmtId="3" fontId="14" fillId="0" borderId="7" xfId="10" applyNumberFormat="1" applyFont="1" applyFill="1" applyBorder="1" applyAlignment="1">
      <alignment horizontal="center"/>
    </xf>
    <xf numFmtId="0" fontId="14" fillId="15" borderId="6" xfId="12" applyFont="1" applyFill="1" applyBorder="1" applyAlignment="1">
      <alignment horizontal="left" vertical="center"/>
    </xf>
    <xf numFmtId="3" fontId="49" fillId="15" borderId="0" xfId="7" applyNumberFormat="1" applyFont="1" applyFill="1" applyAlignment="1">
      <alignment vertical="center"/>
    </xf>
    <xf numFmtId="171" fontId="49" fillId="17" borderId="7" xfId="7" applyNumberFormat="1" applyFont="1" applyFill="1" applyBorder="1" applyAlignment="1">
      <alignment horizontal="center" vertical="center"/>
    </xf>
    <xf numFmtId="171" fontId="49" fillId="17" borderId="0" xfId="7" applyNumberFormat="1" applyFont="1" applyFill="1" applyBorder="1" applyAlignment="1">
      <alignment horizontal="center" vertical="center"/>
    </xf>
    <xf numFmtId="171" fontId="49" fillId="17" borderId="6" xfId="7" applyNumberFormat="1" applyFont="1" applyFill="1" applyBorder="1" applyAlignment="1">
      <alignment horizontal="center" vertical="center"/>
    </xf>
    <xf numFmtId="171" fontId="49" fillId="17" borderId="0" xfId="0" applyNumberFormat="1" applyFont="1" applyFill="1" applyAlignment="1">
      <alignment horizontal="center" vertical="center"/>
    </xf>
    <xf numFmtId="171" fontId="49" fillId="17" borderId="6" xfId="0" applyNumberFormat="1" applyFont="1" applyFill="1" applyBorder="1" applyAlignment="1">
      <alignment horizontal="center" vertical="center"/>
    </xf>
    <xf numFmtId="10" fontId="20" fillId="0" borderId="0" xfId="4" applyNumberFormat="1" applyFont="1" applyFill="1" applyBorder="1" applyAlignment="1">
      <alignment vertical="center"/>
    </xf>
    <xf numFmtId="0" fontId="20" fillId="2" borderId="0" xfId="7" applyFont="1" applyFill="1" applyAlignment="1">
      <alignment horizontal="left" vertical="center"/>
    </xf>
    <xf numFmtId="0" fontId="14" fillId="3" borderId="0" xfId="0" applyFont="1" applyFill="1" applyAlignment="1">
      <alignment horizontal="right"/>
    </xf>
    <xf numFmtId="0" fontId="14" fillId="6" borderId="0" xfId="10" applyFont="1" applyFill="1"/>
    <xf numFmtId="173" fontId="29" fillId="5" borderId="0" xfId="13" applyNumberFormat="1" applyFont="1" applyFill="1" applyAlignment="1">
      <alignment wrapText="1"/>
    </xf>
    <xf numFmtId="173" fontId="54" fillId="14" borderId="0" xfId="13" applyNumberFormat="1" applyFont="1" applyFill="1" applyBorder="1" applyAlignment="1">
      <alignment wrapText="1"/>
    </xf>
    <xf numFmtId="3" fontId="14" fillId="0" borderId="7" xfId="12" applyNumberFormat="1" applyFont="1" applyFill="1" applyBorder="1" applyAlignment="1">
      <alignment horizontal="right" wrapText="1" indent="1"/>
    </xf>
    <xf numFmtId="3" fontId="14" fillId="0" borderId="8" xfId="12" applyNumberFormat="1" applyFont="1" applyFill="1" applyBorder="1" applyAlignment="1">
      <alignment horizontal="right" wrapText="1" indent="1"/>
    </xf>
    <xf numFmtId="0" fontId="60" fillId="0" borderId="7" xfId="12" applyFont="1" applyFill="1" applyBorder="1"/>
    <xf numFmtId="3" fontId="14" fillId="0" borderId="0" xfId="12" applyNumberFormat="1" applyFont="1" applyFill="1" applyAlignment="1">
      <alignment horizontal="right" wrapText="1" indent="1"/>
    </xf>
    <xf numFmtId="3" fontId="14" fillId="0" borderId="9" xfId="12" applyNumberFormat="1" applyFont="1" applyFill="1" applyBorder="1" applyAlignment="1">
      <alignment horizontal="right" wrapText="1" indent="1"/>
    </xf>
    <xf numFmtId="0" fontId="60" fillId="0" borderId="0" xfId="12" applyFont="1" applyFill="1"/>
    <xf numFmtId="173" fontId="61" fillId="0" borderId="0" xfId="7" applyNumberFormat="1" applyFont="1" applyAlignment="1">
      <alignment horizontal="left"/>
    </xf>
    <xf numFmtId="3" fontId="49" fillId="17" borderId="16" xfId="13" applyNumberFormat="1" applyFont="1" applyFill="1" applyBorder="1" applyAlignment="1">
      <alignment horizontal="center" wrapText="1"/>
    </xf>
    <xf numFmtId="3" fontId="49" fillId="17" borderId="0" xfId="13" applyNumberFormat="1" applyFont="1" applyFill="1" applyBorder="1" applyAlignment="1">
      <alignment horizontal="center" wrapText="1"/>
    </xf>
    <xf numFmtId="3" fontId="49" fillId="17" borderId="17" xfId="13" applyNumberFormat="1" applyFont="1" applyFill="1" applyBorder="1" applyAlignment="1">
      <alignment horizontal="center" wrapText="1"/>
    </xf>
    <xf numFmtId="171" fontId="28" fillId="9" borderId="0" xfId="13" applyNumberFormat="1" applyFont="1" applyFill="1" applyAlignment="1">
      <alignment horizontal="right" wrapText="1" indent="3"/>
    </xf>
    <xf numFmtId="173" fontId="14" fillId="5" borderId="0" xfId="13" applyNumberFormat="1" applyFont="1" applyFill="1" applyAlignment="1">
      <alignment horizontal="right" wrapText="1" indent="4"/>
    </xf>
    <xf numFmtId="176" fontId="20" fillId="4" borderId="0" xfId="17" applyNumberFormat="1" applyFont="1" applyFill="1" applyBorder="1" applyAlignment="1">
      <alignment horizontal="right" indent="3"/>
    </xf>
    <xf numFmtId="171" fontId="20" fillId="4" borderId="0" xfId="13" applyNumberFormat="1" applyFont="1" applyFill="1" applyAlignment="1">
      <alignment horizontal="right" wrapText="1" indent="3"/>
    </xf>
    <xf numFmtId="164" fontId="25" fillId="8" borderId="0" xfId="23" applyNumberFormat="1" applyFont="1" applyFill="1" applyAlignment="1">
      <alignment horizontal="right" indent="3"/>
    </xf>
    <xf numFmtId="164" fontId="25" fillId="4" borderId="0" xfId="23" applyNumberFormat="1" applyFont="1" applyFill="1" applyAlignment="1">
      <alignment horizontal="right" indent="3"/>
    </xf>
    <xf numFmtId="0" fontId="11" fillId="0" borderId="0" xfId="31">
      <alignment vertical="center"/>
    </xf>
    <xf numFmtId="183" fontId="0" fillId="0" borderId="0" xfId="0" applyNumberFormat="1" applyAlignment="1">
      <alignment horizontal="center" vertical="center"/>
    </xf>
    <xf numFmtId="0" fontId="28" fillId="5" borderId="0" xfId="12" applyFont="1" applyFill="1" applyAlignment="1">
      <alignment horizontal="right" indent="4"/>
    </xf>
    <xf numFmtId="0" fontId="12" fillId="0" borderId="0" xfId="31" applyFont="1" applyBorder="1">
      <alignment vertical="center"/>
    </xf>
    <xf numFmtId="0" fontId="11" fillId="0" borderId="0" xfId="31" applyNumberFormat="1">
      <alignment vertical="center"/>
    </xf>
    <xf numFmtId="0" fontId="20" fillId="4" borderId="0" xfId="12" applyFont="1" applyFill="1" applyAlignment="1">
      <alignment horizontal="left" indent="1"/>
    </xf>
    <xf numFmtId="173" fontId="20" fillId="5" borderId="0" xfId="13" applyNumberFormat="1" applyFont="1" applyFill="1" applyAlignment="1">
      <alignment horizontal="right" wrapText="1" indent="4"/>
    </xf>
    <xf numFmtId="10" fontId="20" fillId="4" borderId="0" xfId="4" applyNumberFormat="1" applyFont="1" applyFill="1" applyBorder="1" applyAlignment="1">
      <alignment horizontal="right" indent="3"/>
    </xf>
    <xf numFmtId="0" fontId="28" fillId="5" borderId="0" xfId="12" applyFont="1" applyFill="1" applyAlignment="1">
      <alignment horizontal="right" indent="3"/>
    </xf>
    <xf numFmtId="173" fontId="20" fillId="4" borderId="0" xfId="10" applyNumberFormat="1" applyFont="1" applyFill="1" applyBorder="1" applyAlignment="1">
      <alignment horizontal="right" wrapText="1" indent="4"/>
    </xf>
    <xf numFmtId="171" fontId="28" fillId="14" borderId="0" xfId="4" applyNumberFormat="1" applyFont="1" applyFill="1" applyBorder="1" applyAlignment="1">
      <alignment horizontal="right" vertical="center" indent="2"/>
    </xf>
    <xf numFmtId="171" fontId="28" fillId="14" borderId="0" xfId="4" applyNumberFormat="1" applyFont="1" applyFill="1" applyBorder="1" applyAlignment="1">
      <alignment horizontal="right" vertical="center" indent="3"/>
    </xf>
    <xf numFmtId="171" fontId="28" fillId="14" borderId="0" xfId="13" applyNumberFormat="1" applyFont="1" applyFill="1" applyAlignment="1">
      <alignment horizontal="right" wrapText="1"/>
    </xf>
    <xf numFmtId="171" fontId="28" fillId="14" borderId="0" xfId="17" applyNumberFormat="1" applyFont="1" applyFill="1" applyBorder="1" applyAlignment="1">
      <alignment horizontal="right" vertical="center" indent="3"/>
    </xf>
    <xf numFmtId="171" fontId="28" fillId="14" borderId="0" xfId="0" applyNumberFormat="1" applyFont="1" applyFill="1" applyBorder="1" applyAlignment="1">
      <alignment horizontal="right" vertical="center" indent="3"/>
    </xf>
    <xf numFmtId="171" fontId="28" fillId="14" borderId="0" xfId="0" applyNumberFormat="1" applyFont="1" applyFill="1" applyBorder="1" applyAlignment="1">
      <alignment horizontal="right" wrapText="1" indent="3"/>
    </xf>
    <xf numFmtId="176" fontId="28" fillId="9" borderId="0" xfId="17" applyNumberFormat="1" applyFont="1" applyFill="1" applyBorder="1" applyAlignment="1">
      <alignment horizontal="right" indent="3"/>
    </xf>
    <xf numFmtId="173" fontId="49" fillId="14" borderId="0" xfId="13" applyNumberFormat="1" applyFont="1" applyFill="1" applyBorder="1" applyAlignment="1">
      <alignment horizontal="right" wrapText="1" indent="4"/>
    </xf>
    <xf numFmtId="171" fontId="28" fillId="9" borderId="0" xfId="4" applyNumberFormat="1" applyFont="1" applyFill="1" applyBorder="1" applyAlignment="1">
      <alignment horizontal="right" vertical="center" indent="3"/>
    </xf>
    <xf numFmtId="171" fontId="28" fillId="9" borderId="0" xfId="17" applyNumberFormat="1" applyFont="1" applyFill="1" applyBorder="1" applyAlignment="1">
      <alignment horizontal="right" indent="3"/>
    </xf>
    <xf numFmtId="171" fontId="20" fillId="4" borderId="0" xfId="17" applyNumberFormat="1" applyFont="1" applyFill="1" applyBorder="1" applyAlignment="1">
      <alignment horizontal="right" indent="3"/>
    </xf>
    <xf numFmtId="172" fontId="11" fillId="0" borderId="0" xfId="2" applyNumberFormat="1" applyFill="1">
      <alignment vertical="center"/>
    </xf>
    <xf numFmtId="173" fontId="14" fillId="5" borderId="0" xfId="13" applyNumberFormat="1" applyFont="1" applyFill="1" applyAlignment="1">
      <alignment horizontal="right" wrapText="1" indent="5"/>
    </xf>
    <xf numFmtId="173" fontId="14" fillId="7" borderId="0" xfId="10" applyNumberFormat="1" applyFont="1" applyFill="1"/>
    <xf numFmtId="0" fontId="11" fillId="0" borderId="0" xfId="2" applyFill="1" applyAlignment="1">
      <alignment horizontal="left" vertical="center" wrapText="1" indent="2"/>
    </xf>
    <xf numFmtId="3" fontId="14" fillId="0" borderId="7" xfId="13" applyNumberFormat="1" applyFont="1" applyFill="1" applyBorder="1" applyAlignment="1">
      <alignment horizontal="center" wrapText="1"/>
    </xf>
    <xf numFmtId="0" fontId="34" fillId="0" borderId="1" xfId="23" applyFont="1" applyFill="1" applyBorder="1" applyAlignment="1">
      <alignment horizontal="centerContinuous"/>
    </xf>
    <xf numFmtId="0" fontId="35" fillId="0" borderId="1" xfId="23" applyFont="1" applyFill="1" applyBorder="1" applyAlignment="1">
      <alignment horizontal="centerContinuous"/>
    </xf>
    <xf numFmtId="0" fontId="33" fillId="0" borderId="1" xfId="23" applyFill="1" applyBorder="1" applyAlignment="1">
      <alignment horizontal="centerContinuous"/>
    </xf>
    <xf numFmtId="0" fontId="34" fillId="0" borderId="0" xfId="23" applyFont="1" applyFill="1" applyAlignment="1">
      <alignment horizontal="centerContinuous"/>
    </xf>
    <xf numFmtId="0" fontId="35" fillId="0" borderId="0" xfId="23" applyFont="1" applyFill="1" applyAlignment="1">
      <alignment horizontal="centerContinuous"/>
    </xf>
    <xf numFmtId="0" fontId="33" fillId="0" borderId="0" xfId="23" applyFill="1" applyAlignment="1">
      <alignment horizontal="centerContinuous"/>
    </xf>
    <xf numFmtId="0" fontId="33" fillId="0" borderId="0" xfId="23" applyFill="1"/>
    <xf numFmtId="0" fontId="35" fillId="0" borderId="0" xfId="23" applyFont="1" applyFill="1"/>
    <xf numFmtId="0" fontId="33" fillId="0" borderId="0" xfId="23" applyFill="1" applyAlignment="1">
      <alignment horizontal="center"/>
    </xf>
    <xf numFmtId="0" fontId="36" fillId="0" borderId="0" xfId="23" applyFont="1" applyFill="1" applyAlignment="1">
      <alignment horizontal="left"/>
    </xf>
    <xf numFmtId="0" fontId="35" fillId="0" borderId="0" xfId="23" applyFont="1" applyFill="1" applyAlignment="1">
      <alignment horizontal="right"/>
    </xf>
    <xf numFmtId="0" fontId="33" fillId="0" borderId="0" xfId="23" applyFill="1" applyAlignment="1">
      <alignment horizontal="left"/>
    </xf>
    <xf numFmtId="0" fontId="33" fillId="0" borderId="0" xfId="23" applyFill="1" applyAlignment="1">
      <alignment horizontal="left" indent="1"/>
    </xf>
    <xf numFmtId="164" fontId="25" fillId="0" borderId="0" xfId="23" applyNumberFormat="1" applyFont="1" applyFill="1"/>
    <xf numFmtId="0" fontId="33" fillId="0" borderId="2" xfId="23" applyFill="1" applyBorder="1"/>
    <xf numFmtId="173" fontId="14" fillId="0" borderId="0" xfId="10" applyNumberFormat="1" applyFont="1" applyFill="1"/>
    <xf numFmtId="0" fontId="20" fillId="0" borderId="2" xfId="7" applyFont="1" applyFill="1" applyBorder="1" applyAlignment="1">
      <alignment horizontal="center" wrapText="1"/>
    </xf>
    <xf numFmtId="3" fontId="14" fillId="0" borderId="0" xfId="13" applyNumberFormat="1" applyFont="1" applyFill="1" applyAlignment="1">
      <alignment horizontal="right" wrapText="1" indent="1"/>
    </xf>
    <xf numFmtId="0" fontId="21" fillId="0" borderId="2" xfId="12" applyFont="1" applyFill="1" applyBorder="1"/>
    <xf numFmtId="3" fontId="14" fillId="0" borderId="2" xfId="12" applyNumberFormat="1" applyFont="1" applyFill="1" applyBorder="1" applyAlignment="1">
      <alignment horizontal="right" wrapText="1" indent="1"/>
    </xf>
    <xf numFmtId="0" fontId="21" fillId="0" borderId="0" xfId="12" applyFont="1" applyFill="1"/>
    <xf numFmtId="0" fontId="28" fillId="9" borderId="0" xfId="12" applyFont="1" applyFill="1"/>
    <xf numFmtId="173" fontId="29" fillId="9" borderId="0" xfId="13" applyNumberFormat="1" applyFont="1" applyFill="1" applyAlignment="1">
      <alignment wrapText="1"/>
    </xf>
    <xf numFmtId="173" fontId="14" fillId="9" borderId="0" xfId="13" applyNumberFormat="1" applyFont="1" applyFill="1" applyAlignment="1">
      <alignment horizontal="right" wrapText="1" indent="4"/>
    </xf>
    <xf numFmtId="0" fontId="20" fillId="0" borderId="2" xfId="2" applyFont="1" applyFill="1" applyBorder="1">
      <alignment vertical="center"/>
    </xf>
    <xf numFmtId="0" fontId="20" fillId="0" borderId="2" xfId="2" applyFont="1" applyBorder="1">
      <alignment vertical="center"/>
    </xf>
    <xf numFmtId="0" fontId="20" fillId="0" borderId="20" xfId="7" applyFont="1" applyFill="1" applyBorder="1" applyAlignment="1">
      <alignment horizontal="center" wrapText="1"/>
    </xf>
    <xf numFmtId="3" fontId="14" fillId="0" borderId="0" xfId="13" applyNumberFormat="1" applyFont="1" applyFill="1" applyAlignment="1">
      <alignment horizontal="center" wrapText="1"/>
    </xf>
    <xf numFmtId="3" fontId="14" fillId="0" borderId="6" xfId="13" applyNumberFormat="1" applyFont="1" applyFill="1" applyBorder="1" applyAlignment="1">
      <alignment horizontal="center" wrapText="1"/>
    </xf>
    <xf numFmtId="3" fontId="14" fillId="0" borderId="6" xfId="13" applyNumberFormat="1" applyFont="1" applyFill="1" applyBorder="1" applyAlignment="1">
      <alignment horizontal="right" wrapText="1" indent="1"/>
    </xf>
    <xf numFmtId="3" fontId="14" fillId="0" borderId="5" xfId="12" applyNumberFormat="1" applyFont="1" applyFill="1" applyBorder="1" applyAlignment="1">
      <alignment horizontal="right" wrapText="1" indent="1"/>
    </xf>
    <xf numFmtId="3" fontId="14" fillId="0" borderId="6" xfId="12" applyNumberFormat="1" applyFont="1" applyFill="1" applyBorder="1" applyAlignment="1">
      <alignment horizontal="right" wrapText="1" indent="1"/>
    </xf>
    <xf numFmtId="0" fontId="60" fillId="0" borderId="6" xfId="12" applyFont="1" applyFill="1" applyBorder="1"/>
    <xf numFmtId="0" fontId="20" fillId="0" borderId="19" xfId="7" applyFont="1" applyFill="1" applyBorder="1" applyAlignment="1">
      <alignment horizontal="center" wrapText="1"/>
    </xf>
    <xf numFmtId="0" fontId="20" fillId="0" borderId="22" xfId="7" applyFont="1" applyFill="1" applyBorder="1" applyAlignment="1">
      <alignment horizontal="center" wrapText="1"/>
    </xf>
    <xf numFmtId="170" fontId="14" fillId="0" borderId="0" xfId="4" applyNumberFormat="1" applyFont="1"/>
    <xf numFmtId="170" fontId="14" fillId="0" borderId="0" xfId="4" applyNumberFormat="1" applyFont="1" applyFill="1"/>
    <xf numFmtId="0" fontId="14" fillId="0" borderId="0" xfId="2" applyFont="1" applyFill="1" applyAlignment="1">
      <alignment horizontal="left" vertical="center" wrapText="1" indent="3"/>
    </xf>
    <xf numFmtId="0" fontId="14" fillId="0" borderId="0" xfId="2" applyFont="1" applyFill="1" applyAlignment="1">
      <alignment horizontal="left" vertical="center" indent="3"/>
    </xf>
    <xf numFmtId="0" fontId="14" fillId="0" borderId="2" xfId="12" applyFont="1" applyFill="1" applyBorder="1" applyAlignment="1">
      <alignment horizontal="right" indent="5"/>
    </xf>
    <xf numFmtId="0" fontId="14" fillId="0" borderId="0" xfId="12" applyFont="1" applyFill="1" applyAlignment="1">
      <alignment horizontal="right" indent="5"/>
    </xf>
    <xf numFmtId="0" fontId="20" fillId="0" borderId="0" xfId="2" applyFont="1" applyFill="1" applyAlignment="1">
      <alignment horizontal="left" vertical="center" indent="1"/>
    </xf>
    <xf numFmtId="0" fontId="28" fillId="5" borderId="0" xfId="12" applyFont="1" applyFill="1" applyAlignment="1">
      <alignment horizontal="center"/>
    </xf>
    <xf numFmtId="171" fontId="14" fillId="0" borderId="0" xfId="4" applyNumberFormat="1" applyFont="1" applyFill="1" applyAlignment="1">
      <alignment vertical="center"/>
    </xf>
    <xf numFmtId="172" fontId="14" fillId="7" borderId="0" xfId="7" applyNumberFormat="1" applyFont="1" applyFill="1"/>
    <xf numFmtId="3" fontId="0" fillId="0" borderId="0" xfId="0" applyNumberFormat="1"/>
    <xf numFmtId="164" fontId="42" fillId="0" borderId="0" xfId="23" applyNumberFormat="1" applyFont="1" applyFill="1" applyBorder="1" applyAlignment="1">
      <alignment horizontal="right" indent="3"/>
    </xf>
    <xf numFmtId="164" fontId="42" fillId="19" borderId="0" xfId="23" applyNumberFormat="1" applyFont="1" applyFill="1" applyBorder="1" applyAlignment="1">
      <alignment horizontal="right" indent="3"/>
    </xf>
    <xf numFmtId="164" fontId="42" fillId="4" borderId="0" xfId="23" applyNumberFormat="1" applyFont="1" applyFill="1" applyBorder="1" applyAlignment="1">
      <alignment horizontal="right" indent="3"/>
    </xf>
    <xf numFmtId="164" fontId="25" fillId="0" borderId="0" xfId="23" applyNumberFormat="1" applyFont="1" applyFill="1" applyAlignment="1">
      <alignment horizontal="right" indent="3"/>
    </xf>
    <xf numFmtId="183" fontId="11" fillId="0" borderId="0" xfId="31" applyNumberFormat="1">
      <alignment vertical="center"/>
    </xf>
    <xf numFmtId="164" fontId="0" fillId="0" borderId="0" xfId="0" applyNumberFormat="1" applyFill="1"/>
    <xf numFmtId="164" fontId="36" fillId="0" borderId="0" xfId="23" quotePrefix="1" applyNumberFormat="1" applyFont="1" applyFill="1" applyAlignment="1">
      <alignment horizontal="right" indent="3"/>
    </xf>
    <xf numFmtId="0" fontId="14" fillId="17" borderId="0" xfId="7" applyFont="1" applyFill="1" applyBorder="1" applyAlignment="1">
      <alignment horizontal="center" vertical="top"/>
    </xf>
    <xf numFmtId="173" fontId="61" fillId="25" borderId="16" xfId="7" applyNumberFormat="1" applyFont="1" applyFill="1" applyBorder="1" applyAlignment="1">
      <alignment horizontal="center"/>
    </xf>
    <xf numFmtId="173" fontId="61" fillId="25" borderId="0" xfId="7" applyNumberFormat="1" applyFont="1" applyFill="1" applyBorder="1" applyAlignment="1">
      <alignment horizontal="center"/>
    </xf>
    <xf numFmtId="173" fontId="61" fillId="25" borderId="6" xfId="7" applyNumberFormat="1" applyFont="1" applyFill="1" applyBorder="1" applyAlignment="1">
      <alignment horizontal="center"/>
    </xf>
    <xf numFmtId="175" fontId="14" fillId="17" borderId="0" xfId="7" applyNumberFormat="1" applyFont="1" applyFill="1" applyBorder="1" applyAlignment="1">
      <alignment horizontal="center"/>
    </xf>
    <xf numFmtId="173" fontId="61" fillId="17" borderId="7" xfId="7" applyNumberFormat="1" applyFont="1" applyFill="1" applyBorder="1" applyAlignment="1">
      <alignment horizontal="center"/>
    </xf>
    <xf numFmtId="3" fontId="14" fillId="15" borderId="0" xfId="16" quotePrefix="1" applyNumberFormat="1" applyFont="1" applyFill="1" applyBorder="1" applyAlignment="1">
      <alignment horizontal="center"/>
    </xf>
    <xf numFmtId="37" fontId="68" fillId="15" borderId="0" xfId="16" applyNumberFormat="1" applyFont="1" applyFill="1" applyBorder="1" applyAlignment="1">
      <alignment horizontal="center"/>
    </xf>
    <xf numFmtId="37" fontId="14" fillId="15" borderId="0" xfId="16" applyNumberFormat="1" applyFont="1" applyFill="1" applyBorder="1" applyAlignment="1">
      <alignment horizontal="center"/>
    </xf>
    <xf numFmtId="37" fontId="14" fillId="15" borderId="6" xfId="16" applyNumberFormat="1" applyFont="1" applyFill="1" applyBorder="1" applyAlignment="1">
      <alignment horizontal="center"/>
    </xf>
    <xf numFmtId="3" fontId="68" fillId="15" borderId="0" xfId="12" applyNumberFormat="1" applyFont="1" applyFill="1" applyAlignment="1">
      <alignment horizontal="center"/>
    </xf>
    <xf numFmtId="3" fontId="14" fillId="15" borderId="0" xfId="12" applyNumberFormat="1" applyFont="1" applyFill="1" applyAlignment="1">
      <alignment horizontal="center"/>
    </xf>
    <xf numFmtId="3" fontId="14" fillId="15" borderId="6" xfId="12" applyNumberFormat="1" applyFont="1" applyFill="1" applyBorder="1" applyAlignment="1">
      <alignment horizontal="center"/>
    </xf>
    <xf numFmtId="3" fontId="68" fillId="15" borderId="0" xfId="7" applyNumberFormat="1" applyFont="1" applyFill="1" applyBorder="1" applyAlignment="1">
      <alignment horizontal="center"/>
    </xf>
    <xf numFmtId="3" fontId="14" fillId="15" borderId="0" xfId="12" applyNumberFormat="1" applyFont="1" applyFill="1" applyBorder="1" applyAlignment="1">
      <alignment horizontal="center"/>
    </xf>
    <xf numFmtId="37" fontId="68" fillId="15" borderId="6" xfId="16" applyNumberFormat="1" applyFont="1" applyFill="1" applyBorder="1" applyAlignment="1">
      <alignment horizontal="center"/>
    </xf>
    <xf numFmtId="3" fontId="68" fillId="15" borderId="6" xfId="12" applyNumberFormat="1" applyFont="1" applyFill="1" applyBorder="1" applyAlignment="1">
      <alignment horizontal="center"/>
    </xf>
    <xf numFmtId="0" fontId="11" fillId="0" borderId="0" xfId="2" applyFill="1" applyAlignment="1">
      <alignment horizontal="left" vertical="center" wrapText="1" indent="2"/>
    </xf>
    <xf numFmtId="0" fontId="20" fillId="0" borderId="0" xfId="2" applyFont="1" applyFill="1" applyAlignment="1">
      <alignment vertical="center" wrapText="1"/>
    </xf>
    <xf numFmtId="0" fontId="20" fillId="0" borderId="0" xfId="2" applyFont="1" applyFill="1" applyAlignment="1">
      <alignment horizontal="left" vertical="center" wrapText="1"/>
    </xf>
    <xf numFmtId="0" fontId="11" fillId="0" borderId="0" xfId="2" applyFill="1" applyAlignment="1">
      <alignment vertical="center" wrapText="1"/>
    </xf>
    <xf numFmtId="0" fontId="11" fillId="0" borderId="0" xfId="2" applyFill="1" applyAlignment="1">
      <alignment horizontal="left" vertical="center"/>
    </xf>
    <xf numFmtId="9" fontId="11" fillId="0" borderId="0" xfId="31" applyNumberFormat="1">
      <alignment vertical="center"/>
    </xf>
    <xf numFmtId="0" fontId="20" fillId="0" borderId="2" xfId="2" applyFont="1" applyFill="1" applyBorder="1" applyAlignment="1">
      <alignment horizontal="centerContinuous"/>
    </xf>
    <xf numFmtId="0" fontId="21" fillId="0" borderId="0" xfId="2" applyFont="1" applyAlignment="1">
      <alignment vertical="center"/>
    </xf>
    <xf numFmtId="0" fontId="20" fillId="0" borderId="2" xfId="2" applyFont="1" applyBorder="1" applyAlignment="1">
      <alignment horizontal="centerContinuous"/>
    </xf>
    <xf numFmtId="0" fontId="11" fillId="0" borderId="1" xfId="0" applyFont="1" applyBorder="1"/>
    <xf numFmtId="0" fontId="50" fillId="0" borderId="0" xfId="2" applyNumberFormat="1" applyFont="1" applyFill="1" applyBorder="1" applyAlignment="1">
      <alignment horizontal="right" vertical="center"/>
    </xf>
    <xf numFmtId="0" fontId="50" fillId="0" borderId="0" xfId="2" applyNumberFormat="1" applyFont="1" applyFill="1" applyBorder="1" applyAlignment="1">
      <alignment horizontal="right"/>
    </xf>
    <xf numFmtId="0" fontId="49" fillId="0" borderId="0" xfId="2" applyNumberFormat="1" applyFont="1" applyFill="1" applyBorder="1" applyAlignment="1">
      <alignment horizontal="right"/>
    </xf>
    <xf numFmtId="0" fontId="12" fillId="0" borderId="0" xfId="0" applyFont="1" applyBorder="1"/>
    <xf numFmtId="0" fontId="11" fillId="2" borderId="0" xfId="0" applyFont="1" applyFill="1" applyBorder="1"/>
    <xf numFmtId="0" fontId="49" fillId="2" borderId="0" xfId="2" applyNumberFormat="1" applyFont="1" applyFill="1" applyBorder="1" applyAlignment="1">
      <alignment horizontal="right" vertical="center"/>
    </xf>
    <xf numFmtId="0" fontId="49" fillId="2" borderId="0" xfId="2" applyNumberFormat="1" applyFont="1" applyFill="1" applyBorder="1" applyAlignment="1">
      <alignment horizontal="right"/>
    </xf>
    <xf numFmtId="10" fontId="14" fillId="2" borderId="0" xfId="4" applyNumberFormat="1" applyFont="1" applyFill="1" applyAlignment="1">
      <alignment horizontal="right" vertical="center"/>
    </xf>
    <xf numFmtId="0" fontId="14" fillId="2" borderId="0" xfId="2" applyFont="1" applyFill="1" applyAlignment="1">
      <alignment horizontal="right" vertical="center"/>
    </xf>
    <xf numFmtId="0" fontId="49" fillId="11" borderId="0" xfId="2" applyNumberFormat="1" applyFont="1" applyFill="1" applyBorder="1" applyAlignment="1">
      <alignment horizontal="right" vertical="center"/>
    </xf>
    <xf numFmtId="170" fontId="11" fillId="0" borderId="0" xfId="4" applyNumberFormat="1" applyFont="1" applyFill="1" applyBorder="1" applyAlignment="1">
      <alignment horizontal="right"/>
    </xf>
    <xf numFmtId="0" fontId="11" fillId="0" borderId="0" xfId="0" applyFont="1" applyFill="1" applyBorder="1" applyAlignment="1">
      <alignment horizontal="right"/>
    </xf>
    <xf numFmtId="170" fontId="11" fillId="0" borderId="0" xfId="4" applyNumberFormat="1" applyFont="1" applyBorder="1" applyAlignment="1">
      <alignment horizontal="right"/>
    </xf>
    <xf numFmtId="0" fontId="11" fillId="0" borderId="0" xfId="0" applyFont="1" applyFill="1" applyBorder="1"/>
    <xf numFmtId="0" fontId="57" fillId="0" borderId="0" xfId="2" applyNumberFormat="1" applyFont="1" applyFill="1" applyBorder="1" applyAlignment="1">
      <alignment horizontal="left" vertical="center"/>
    </xf>
    <xf numFmtId="0" fontId="48" fillId="0" borderId="11" xfId="2" applyFont="1" applyFill="1" applyBorder="1" applyAlignment="1">
      <alignment horizontal="center" vertical="center"/>
    </xf>
    <xf numFmtId="0" fontId="48" fillId="0" borderId="12" xfId="2" applyFont="1" applyFill="1" applyBorder="1" applyAlignment="1">
      <alignment horizontal="center" vertical="center"/>
    </xf>
    <xf numFmtId="3" fontId="49" fillId="2" borderId="0" xfId="2" applyNumberFormat="1" applyFont="1" applyFill="1" applyAlignment="1">
      <alignment vertical="center"/>
    </xf>
    <xf numFmtId="3" fontId="50" fillId="0" borderId="0" xfId="2" applyNumberFormat="1" applyFont="1" applyFill="1" applyAlignment="1">
      <alignment vertical="center"/>
    </xf>
    <xf numFmtId="170" fontId="49" fillId="0" borderId="0" xfId="4" applyNumberFormat="1" applyFont="1" applyFill="1" applyAlignment="1">
      <alignment vertical="center"/>
    </xf>
    <xf numFmtId="3" fontId="33" fillId="17" borderId="7" xfId="0" applyNumberFormat="1" applyFont="1" applyFill="1" applyBorder="1" applyAlignment="1">
      <alignment horizontal="center"/>
    </xf>
    <xf numFmtId="3" fontId="33" fillId="17" borderId="0" xfId="0" applyNumberFormat="1" applyFont="1" applyFill="1" applyBorder="1" applyAlignment="1">
      <alignment horizontal="center"/>
    </xf>
    <xf numFmtId="3" fontId="49" fillId="17" borderId="7" xfId="9" applyNumberFormat="1" applyFont="1" applyFill="1" applyBorder="1" applyAlignment="1">
      <alignment horizontal="center" vertical="center"/>
    </xf>
    <xf numFmtId="3" fontId="49" fillId="17" borderId="0" xfId="9" applyNumberFormat="1" applyFont="1" applyFill="1" applyBorder="1" applyAlignment="1">
      <alignment horizontal="center" vertical="center"/>
    </xf>
    <xf numFmtId="170" fontId="49" fillId="17" borderId="16" xfId="2" applyNumberFormat="1" applyFont="1" applyFill="1" applyBorder="1" applyAlignment="1">
      <alignment horizontal="center" vertical="center"/>
    </xf>
    <xf numFmtId="170" fontId="49" fillId="17" borderId="0" xfId="2" applyNumberFormat="1" applyFont="1" applyFill="1" applyBorder="1" applyAlignment="1">
      <alignment horizontal="center" vertical="center"/>
    </xf>
    <xf numFmtId="170" fontId="49" fillId="17" borderId="6" xfId="2" applyNumberFormat="1" applyFont="1" applyFill="1" applyBorder="1" applyAlignment="1">
      <alignment horizontal="center" vertical="center"/>
    </xf>
    <xf numFmtId="170" fontId="11" fillId="0" borderId="0" xfId="2" applyNumberFormat="1" applyFill="1">
      <alignment vertical="center"/>
    </xf>
    <xf numFmtId="9" fontId="42" fillId="17" borderId="7" xfId="4" applyFont="1" applyFill="1" applyBorder="1" applyAlignment="1">
      <alignment horizontal="center" vertical="center"/>
    </xf>
    <xf numFmtId="9" fontId="42" fillId="17" borderId="0" xfId="4" applyFont="1" applyFill="1" applyBorder="1" applyAlignment="1">
      <alignment horizontal="center" vertical="center"/>
    </xf>
    <xf numFmtId="9" fontId="42" fillId="17" borderId="6" xfId="4" applyFont="1" applyFill="1" applyBorder="1" applyAlignment="1">
      <alignment horizontal="center" vertical="center"/>
    </xf>
    <xf numFmtId="3" fontId="49" fillId="0" borderId="0" xfId="0" applyNumberFormat="1" applyFont="1" applyFill="1" applyAlignment="1">
      <alignment vertical="center"/>
    </xf>
    <xf numFmtId="0" fontId="11" fillId="0" borderId="0" xfId="2" applyFill="1" applyAlignment="1">
      <alignment horizontal="left" vertical="center" wrapText="1" indent="2"/>
    </xf>
    <xf numFmtId="0" fontId="11" fillId="0" borderId="0" xfId="2" applyAlignment="1">
      <alignment horizontal="left" vertical="center" wrapText="1" indent="2"/>
    </xf>
    <xf numFmtId="0" fontId="14" fillId="2" borderId="0" xfId="10" applyFont="1" applyFill="1" applyAlignment="1">
      <alignment horizontal="right"/>
    </xf>
    <xf numFmtId="0" fontId="14" fillId="2" borderId="0" xfId="2" applyFont="1" applyFill="1" applyAlignment="1">
      <alignment horizontal="right" vertical="center" wrapText="1"/>
    </xf>
    <xf numFmtId="10" fontId="50" fillId="0" borderId="0" xfId="4" applyNumberFormat="1" applyFont="1" applyFill="1" applyBorder="1" applyAlignment="1">
      <alignment horizontal="center"/>
    </xf>
    <xf numFmtId="0" fontId="14" fillId="0" borderId="0" xfId="6" applyFont="1"/>
    <xf numFmtId="0" fontId="11" fillId="0" borderId="0" xfId="31" applyBorder="1">
      <alignment vertical="center"/>
    </xf>
    <xf numFmtId="0" fontId="74" fillId="0" borderId="1" xfId="0" applyFont="1" applyBorder="1"/>
    <xf numFmtId="0" fontId="52" fillId="0" borderId="1" xfId="31" applyFont="1" applyBorder="1">
      <alignment vertical="center"/>
    </xf>
    <xf numFmtId="0" fontId="74" fillId="0" borderId="0" xfId="0" applyFont="1"/>
    <xf numFmtId="0" fontId="52" fillId="0" borderId="0" xfId="31" applyFont="1" applyBorder="1">
      <alignment vertical="center"/>
    </xf>
    <xf numFmtId="0" fontId="12" fillId="0" borderId="0" xfId="0" applyFont="1" applyAlignment="1">
      <alignment horizontal="right"/>
    </xf>
    <xf numFmtId="0" fontId="41" fillId="0" borderId="0" xfId="0" applyFont="1" applyAlignment="1">
      <alignment horizontal="right"/>
    </xf>
    <xf numFmtId="0" fontId="52" fillId="0" borderId="11" xfId="0" applyFont="1" applyBorder="1" applyAlignment="1">
      <alignment horizontal="right"/>
    </xf>
    <xf numFmtId="0" fontId="52" fillId="0" borderId="12" xfId="0" applyFont="1" applyBorder="1" applyAlignment="1">
      <alignment horizontal="right"/>
    </xf>
    <xf numFmtId="0" fontId="52" fillId="0" borderId="0" xfId="0" applyFont="1" applyAlignment="1">
      <alignment horizontal="right"/>
    </xf>
    <xf numFmtId="170" fontId="14" fillId="0" borderId="0" xfId="4" applyNumberFormat="1" applyFont="1" applyFill="1" applyAlignment="1">
      <alignment horizontal="right" vertical="center"/>
    </xf>
    <xf numFmtId="9" fontId="14" fillId="0" borderId="0" xfId="4" applyFont="1" applyFill="1" applyAlignment="1">
      <alignment horizontal="right" vertical="center"/>
    </xf>
    <xf numFmtId="183" fontId="11" fillId="0" borderId="0" xfId="31" applyNumberFormat="1" applyAlignment="1">
      <alignment horizontal="right" vertical="center"/>
    </xf>
    <xf numFmtId="170" fontId="0" fillId="0" borderId="0" xfId="4" applyNumberFormat="1" applyFont="1" applyFill="1" applyAlignment="1">
      <alignment horizontal="right" vertical="center"/>
    </xf>
    <xf numFmtId="183" fontId="0" fillId="0" borderId="0" xfId="0" applyNumberFormat="1" applyAlignment="1">
      <alignment horizontal="right" vertical="center"/>
    </xf>
    <xf numFmtId="9" fontId="0" fillId="0" borderId="0" xfId="4" applyFont="1" applyFill="1" applyAlignment="1">
      <alignment horizontal="right" vertical="center"/>
    </xf>
    <xf numFmtId="183" fontId="12" fillId="0" borderId="0" xfId="0" applyNumberFormat="1" applyFont="1" applyAlignment="1">
      <alignment horizontal="right" vertical="center"/>
    </xf>
    <xf numFmtId="0" fontId="75" fillId="0" borderId="1" xfId="31" applyFont="1" applyBorder="1" applyAlignment="1">
      <alignment horizontal="left" vertical="center"/>
    </xf>
    <xf numFmtId="0" fontId="75" fillId="0" borderId="0" xfId="31" applyFont="1" applyBorder="1" applyAlignment="1">
      <alignment horizontal="left" vertical="center"/>
    </xf>
    <xf numFmtId="0" fontId="0" fillId="0" borderId="0" xfId="0" applyAlignment="1">
      <alignment horizontal="left"/>
    </xf>
    <xf numFmtId="0" fontId="0" fillId="0" borderId="0" xfId="0" applyBorder="1"/>
    <xf numFmtId="0" fontId="0" fillId="0" borderId="2" xfId="0" applyBorder="1"/>
    <xf numFmtId="0" fontId="0" fillId="0" borderId="0" xfId="0" applyAlignment="1">
      <alignment horizontal="centerContinuous"/>
    </xf>
    <xf numFmtId="0" fontId="0" fillId="0" borderId="0" xfId="0" applyAlignment="1">
      <alignment horizontal="left" indent="1"/>
    </xf>
    <xf numFmtId="172" fontId="14" fillId="0" borderId="0" xfId="6" applyNumberFormat="1" applyFont="1" applyAlignment="1">
      <alignment vertical="center"/>
    </xf>
    <xf numFmtId="172" fontId="14" fillId="0" borderId="0" xfId="6" applyNumberFormat="1" applyFont="1"/>
    <xf numFmtId="1" fontId="14" fillId="0" borderId="0" xfId="7" applyNumberFormat="1" applyFont="1" applyFill="1" applyAlignment="1">
      <alignment horizontal="right"/>
    </xf>
    <xf numFmtId="1" fontId="14" fillId="0" borderId="0" xfId="6" applyNumberFormat="1" applyFont="1" applyFill="1"/>
    <xf numFmtId="0" fontId="14" fillId="3" borderId="0" xfId="6" applyFont="1" applyFill="1"/>
    <xf numFmtId="1" fontId="14" fillId="3" borderId="0" xfId="6" applyNumberFormat="1" applyFont="1" applyFill="1"/>
    <xf numFmtId="0" fontId="14" fillId="3" borderId="1" xfId="6" applyFont="1" applyFill="1" applyBorder="1"/>
    <xf numFmtId="172" fontId="14" fillId="0" borderId="2" xfId="6" applyNumberFormat="1" applyFont="1" applyFill="1" applyBorder="1"/>
    <xf numFmtId="0" fontId="14" fillId="3" borderId="2" xfId="6" applyFont="1" applyFill="1" applyBorder="1"/>
    <xf numFmtId="0" fontId="14" fillId="0" borderId="2" xfId="6" applyFont="1" applyFill="1" applyBorder="1"/>
    <xf numFmtId="0" fontId="14" fillId="2" borderId="0" xfId="2" applyFont="1" applyFill="1" applyAlignment="1">
      <alignment horizontal="left" vertical="center"/>
    </xf>
    <xf numFmtId="0" fontId="14" fillId="2" borderId="0" xfId="2" applyFont="1" applyFill="1" applyAlignment="1">
      <alignment horizontal="left" vertical="center" indent="2"/>
    </xf>
    <xf numFmtId="173" fontId="20" fillId="4" borderId="0" xfId="10" applyNumberFormat="1" applyFont="1" applyFill="1" applyBorder="1" applyAlignment="1">
      <alignment horizontal="right" wrapText="1" indent="3"/>
    </xf>
    <xf numFmtId="3" fontId="55" fillId="26" borderId="16" xfId="12" applyNumberFormat="1" applyFont="1" applyFill="1" applyBorder="1" applyAlignment="1">
      <alignment horizontal="center" wrapText="1"/>
    </xf>
    <xf numFmtId="3" fontId="55" fillId="26" borderId="0" xfId="12" applyNumberFormat="1" applyFont="1" applyFill="1" applyBorder="1" applyAlignment="1">
      <alignment horizontal="center" wrapText="1"/>
    </xf>
    <xf numFmtId="3" fontId="14" fillId="0" borderId="0" xfId="12" applyNumberFormat="1" applyFont="1" applyBorder="1" applyAlignment="1">
      <alignment horizontal="right" wrapText="1" indent="1"/>
    </xf>
    <xf numFmtId="3" fontId="55" fillId="26" borderId="17" xfId="12" applyNumberFormat="1" applyFont="1" applyFill="1" applyBorder="1" applyAlignment="1">
      <alignment horizontal="center" wrapText="1"/>
    </xf>
    <xf numFmtId="0" fontId="14" fillId="0" borderId="0" xfId="0" applyFont="1" applyFill="1" applyAlignment="1">
      <alignment horizontal="right"/>
    </xf>
    <xf numFmtId="0" fontId="52" fillId="0" borderId="1" xfId="0" applyFont="1" applyBorder="1" applyAlignment="1">
      <alignment horizontal="left"/>
    </xf>
    <xf numFmtId="0" fontId="52" fillId="0" borderId="1" xfId="0" applyFont="1" applyBorder="1" applyAlignment="1">
      <alignment horizontal="right"/>
    </xf>
    <xf numFmtId="0" fontId="52" fillId="0" borderId="0" xfId="0" applyFont="1" applyAlignment="1">
      <alignment horizontal="left"/>
    </xf>
    <xf numFmtId="0" fontId="12" fillId="0" borderId="0" xfId="0" applyFont="1" applyAlignment="1">
      <alignment horizontal="left"/>
    </xf>
    <xf numFmtId="0" fontId="52" fillId="0" borderId="11" xfId="0" applyFont="1" applyBorder="1" applyAlignment="1">
      <alignment horizontal="left"/>
    </xf>
    <xf numFmtId="0" fontId="52" fillId="0" borderId="12" xfId="0" applyFont="1" applyBorder="1" applyAlignment="1">
      <alignment horizontal="left"/>
    </xf>
    <xf numFmtId="0" fontId="49" fillId="0" borderId="0" xfId="0" applyFont="1" applyAlignment="1">
      <alignment horizontal="right"/>
    </xf>
    <xf numFmtId="171" fontId="49" fillId="0" borderId="0" xfId="0" applyNumberFormat="1" applyFont="1" applyAlignment="1">
      <alignment horizontal="right" vertical="center"/>
    </xf>
    <xf numFmtId="0" fontId="52" fillId="0" borderId="11" xfId="0" applyFont="1" applyBorder="1" applyAlignment="1">
      <alignment horizontal="left" vertical="center"/>
    </xf>
    <xf numFmtId="171" fontId="75" fillId="0" borderId="11" xfId="0" applyNumberFormat="1" applyFont="1" applyBorder="1" applyAlignment="1">
      <alignment horizontal="right" vertical="center"/>
    </xf>
    <xf numFmtId="0" fontId="52" fillId="0" borderId="12" xfId="0" applyFont="1" applyBorder="1" applyAlignment="1">
      <alignment horizontal="left" vertical="center"/>
    </xf>
    <xf numFmtId="171" fontId="75" fillId="0" borderId="12" xfId="0" applyNumberFormat="1" applyFont="1" applyBorder="1" applyAlignment="1">
      <alignment horizontal="right" vertical="center"/>
    </xf>
    <xf numFmtId="4" fontId="49" fillId="0" borderId="0" xfId="4" applyNumberFormat="1" applyFont="1" applyFill="1" applyAlignment="1">
      <alignment vertical="center"/>
    </xf>
    <xf numFmtId="0" fontId="49" fillId="0" borderId="0" xfId="2" applyNumberFormat="1" applyFont="1" applyFill="1" applyAlignment="1">
      <alignment vertical="center"/>
    </xf>
    <xf numFmtId="171" fontId="49" fillId="0" borderId="0" xfId="2" applyNumberFormat="1" applyFont="1" applyFill="1" applyBorder="1">
      <alignment vertical="center"/>
    </xf>
    <xf numFmtId="0" fontId="20" fillId="0" borderId="2" xfId="2" applyFont="1" applyFill="1" applyBorder="1" applyAlignment="1">
      <alignment horizontal="right" vertical="center" wrapText="1"/>
    </xf>
    <xf numFmtId="0" fontId="52" fillId="0" borderId="0" xfId="0" applyFont="1" applyBorder="1"/>
    <xf numFmtId="0" fontId="52" fillId="0" borderId="0" xfId="0" applyFont="1" applyBorder="1" applyAlignment="1">
      <alignment horizontal="centerContinuous"/>
    </xf>
    <xf numFmtId="0" fontId="52" fillId="0" borderId="1" xfId="0" applyFont="1" applyBorder="1"/>
    <xf numFmtId="0" fontId="52" fillId="0" borderId="1" xfId="0" applyFont="1" applyBorder="1" applyAlignment="1">
      <alignment horizontal="centerContinuous"/>
    </xf>
    <xf numFmtId="0" fontId="12" fillId="0" borderId="2" xfId="0" applyFont="1" applyBorder="1" applyAlignment="1">
      <alignment horizontal="right"/>
    </xf>
    <xf numFmtId="0" fontId="11" fillId="0" borderId="0" xfId="31" applyAlignment="1">
      <alignment horizontal="right" vertical="center"/>
    </xf>
    <xf numFmtId="184" fontId="11" fillId="0" borderId="0" xfId="2" applyNumberFormat="1">
      <alignment vertical="center"/>
    </xf>
    <xf numFmtId="183" fontId="0" fillId="0" borderId="0" xfId="0" applyNumberFormat="1" applyFill="1" applyAlignment="1">
      <alignment horizontal="right" vertical="center"/>
    </xf>
    <xf numFmtId="183" fontId="11" fillId="0" borderId="0" xfId="31" applyNumberFormat="1" applyFill="1" applyAlignment="1">
      <alignment horizontal="right" vertical="center"/>
    </xf>
    <xf numFmtId="0" fontId="77" fillId="0" borderId="0" xfId="0" applyNumberFormat="1" applyFont="1" applyFill="1" applyBorder="1" applyAlignment="1"/>
    <xf numFmtId="0" fontId="78" fillId="0" borderId="0" xfId="0" applyNumberFormat="1" applyFont="1" applyFill="1" applyBorder="1" applyAlignment="1">
      <alignment vertical="center"/>
    </xf>
    <xf numFmtId="0" fontId="75" fillId="0" borderId="0" xfId="0" applyNumberFormat="1" applyFont="1" applyFill="1" applyBorder="1" applyAlignment="1"/>
    <xf numFmtId="0" fontId="49" fillId="0" borderId="2" xfId="0" applyNumberFormat="1" applyFont="1" applyFill="1" applyBorder="1" applyAlignment="1"/>
    <xf numFmtId="10" fontId="50" fillId="19" borderId="0" xfId="4" applyNumberFormat="1" applyFont="1" applyFill="1" applyBorder="1" applyAlignment="1">
      <alignment horizontal="right" indent="3"/>
    </xf>
    <xf numFmtId="0" fontId="0" fillId="0" borderId="0" xfId="0" applyFill="1" applyAlignment="1">
      <alignment horizontal="right" vertical="center" wrapText="1"/>
    </xf>
    <xf numFmtId="3" fontId="49" fillId="7" borderId="0" xfId="7" applyNumberFormat="1" applyFont="1" applyFill="1" applyAlignment="1">
      <alignment horizontal="left" vertical="center"/>
    </xf>
    <xf numFmtId="183" fontId="14" fillId="0" borderId="0" xfId="0" applyNumberFormat="1" applyFont="1" applyFill="1" applyAlignment="1">
      <alignment horizontal="right" vertical="center"/>
    </xf>
    <xf numFmtId="183" fontId="12" fillId="0" borderId="0" xfId="0" applyNumberFormat="1" applyFont="1" applyFill="1" applyAlignment="1">
      <alignment horizontal="right" vertical="center"/>
    </xf>
    <xf numFmtId="0" fontId="0" fillId="0" borderId="0" xfId="0" applyFont="1"/>
    <xf numFmtId="182" fontId="49" fillId="0" borderId="0" xfId="4" applyNumberFormat="1" applyFont="1" applyFill="1" applyBorder="1" applyAlignment="1">
      <alignment vertical="center"/>
    </xf>
    <xf numFmtId="182" fontId="49" fillId="0" borderId="0" xfId="0" applyNumberFormat="1" applyFont="1" applyFill="1" applyBorder="1" applyAlignment="1">
      <alignment vertical="center"/>
    </xf>
    <xf numFmtId="0" fontId="50" fillId="0" borderId="0" xfId="0" applyNumberFormat="1" applyFont="1" applyBorder="1" applyAlignment="1">
      <alignment vertical="center"/>
    </xf>
    <xf numFmtId="0" fontId="11" fillId="0" borderId="0" xfId="2" applyFill="1" applyAlignment="1">
      <alignment vertical="center" wrapText="1"/>
    </xf>
    <xf numFmtId="0" fontId="11" fillId="0" borderId="0" xfId="2" applyFill="1" applyAlignment="1">
      <alignment horizontal="left" vertical="center"/>
    </xf>
    <xf numFmtId="0" fontId="75" fillId="0" borderId="1" xfId="0" applyNumberFormat="1" applyFont="1" applyFill="1" applyBorder="1" applyAlignment="1"/>
    <xf numFmtId="0" fontId="52" fillId="0" borderId="11" xfId="0" applyFont="1" applyFill="1" applyBorder="1" applyAlignment="1">
      <alignment horizontal="left" indent="1"/>
    </xf>
    <xf numFmtId="0" fontId="52" fillId="0" borderId="11" xfId="0" applyFont="1" applyBorder="1" applyAlignment="1"/>
    <xf numFmtId="0" fontId="52" fillId="0" borderId="11" xfId="0" applyFont="1" applyFill="1" applyBorder="1"/>
    <xf numFmtId="0" fontId="52" fillId="0" borderId="12" xfId="0" applyFont="1" applyFill="1" applyBorder="1" applyAlignment="1">
      <alignment horizontal="left" indent="1"/>
    </xf>
    <xf numFmtId="0" fontId="52" fillId="0" borderId="12" xfId="0" applyFont="1" applyBorder="1" applyAlignment="1"/>
    <xf numFmtId="0" fontId="52" fillId="0" borderId="12" xfId="0" applyFont="1" applyFill="1" applyBorder="1"/>
    <xf numFmtId="0" fontId="0" fillId="0" borderId="0" xfId="0" applyFont="1" applyFill="1" applyAlignment="1">
      <alignment horizontal="left" indent="1"/>
    </xf>
    <xf numFmtId="0" fontId="12" fillId="0" borderId="0" xfId="0" applyFont="1" applyFill="1"/>
    <xf numFmtId="3" fontId="49" fillId="0" borderId="0" xfId="0" applyNumberFormat="1" applyFont="1" applyBorder="1" applyAlignment="1">
      <alignment vertical="center"/>
    </xf>
    <xf numFmtId="0" fontId="0" fillId="0" borderId="0" xfId="0" applyFill="1" applyAlignment="1">
      <alignment horizontal="left" indent="1"/>
    </xf>
    <xf numFmtId="185" fontId="49" fillId="0" borderId="0" xfId="0" applyNumberFormat="1" applyFont="1" applyFill="1" applyBorder="1" applyAlignment="1"/>
    <xf numFmtId="0" fontId="9" fillId="0" borderId="0" xfId="0" applyFont="1"/>
    <xf numFmtId="0" fontId="43" fillId="0" borderId="0" xfId="2" applyFont="1">
      <alignment vertical="center"/>
    </xf>
    <xf numFmtId="9" fontId="49" fillId="0" borderId="0" xfId="4" applyFont="1" applyAlignment="1">
      <alignment horizontal="right" vertical="center"/>
    </xf>
    <xf numFmtId="0" fontId="52" fillId="0" borderId="0" xfId="2" applyFont="1" applyBorder="1">
      <alignment vertical="center"/>
    </xf>
    <xf numFmtId="171" fontId="49" fillId="0" borderId="0" xfId="4" applyNumberFormat="1" applyFont="1" applyFill="1" applyBorder="1" applyAlignment="1">
      <alignment vertical="center"/>
    </xf>
    <xf numFmtId="0" fontId="11" fillId="0" borderId="0" xfId="31" applyFill="1">
      <alignment vertical="center"/>
    </xf>
    <xf numFmtId="0" fontId="0" fillId="0" borderId="0" xfId="0" applyAlignment="1">
      <alignment horizontal="left" vertical="center" indent="2"/>
    </xf>
    <xf numFmtId="0" fontId="11" fillId="0" borderId="0" xfId="2" applyAlignment="1">
      <alignment horizontal="left" vertical="center" wrapText="1" indent="2"/>
    </xf>
    <xf numFmtId="0" fontId="11" fillId="0" borderId="0" xfId="2" applyFill="1" applyAlignment="1">
      <alignment horizontal="left" vertical="center" wrapText="1" indent="2"/>
    </xf>
    <xf numFmtId="0" fontId="11" fillId="2" borderId="0" xfId="31" applyFill="1" applyBorder="1" applyAlignment="1">
      <alignment horizontal="left" vertical="center"/>
    </xf>
    <xf numFmtId="0" fontId="11" fillId="11" borderId="0" xfId="31" applyFill="1">
      <alignment vertical="center"/>
    </xf>
    <xf numFmtId="0" fontId="11" fillId="2" borderId="0" xfId="31" applyFill="1">
      <alignment vertical="center"/>
    </xf>
    <xf numFmtId="0" fontId="11" fillId="2" borderId="0" xfId="31" applyFill="1" applyBorder="1">
      <alignment vertical="center"/>
    </xf>
    <xf numFmtId="0" fontId="12" fillId="11" borderId="0" xfId="31" applyFont="1" applyFill="1">
      <alignment vertical="center"/>
    </xf>
    <xf numFmtId="0" fontId="14" fillId="2" borderId="0" xfId="7" applyFont="1" applyFill="1" applyBorder="1"/>
    <xf numFmtId="0" fontId="20" fillId="2" borderId="0" xfId="7" applyFont="1" applyFill="1" applyBorder="1"/>
    <xf numFmtId="0" fontId="10" fillId="0" borderId="0" xfId="0" applyFont="1" applyFill="1" applyBorder="1" applyAlignment="1">
      <alignment horizontal="right" vertical="top"/>
    </xf>
    <xf numFmtId="0" fontId="20" fillId="0" borderId="7" xfId="7" applyFont="1" applyBorder="1" applyAlignment="1">
      <alignment horizontal="left" vertical="center"/>
    </xf>
    <xf numFmtId="0" fontId="14" fillId="0" borderId="4" xfId="7" applyFont="1" applyBorder="1"/>
    <xf numFmtId="0" fontId="14" fillId="15" borderId="7" xfId="10" applyFont="1" applyFill="1" applyBorder="1" applyAlignment="1">
      <alignment horizontal="left" indent="1"/>
    </xf>
    <xf numFmtId="0" fontId="14" fillId="15" borderId="7" xfId="10" applyFont="1" applyFill="1" applyBorder="1" applyAlignment="1">
      <alignment horizontal="left" wrapText="1" indent="1"/>
    </xf>
    <xf numFmtId="0" fontId="14" fillId="15" borderId="7" xfId="10" applyFont="1" applyFill="1" applyBorder="1" applyAlignment="1">
      <alignment horizontal="left" vertical="center"/>
    </xf>
    <xf numFmtId="0" fontId="14" fillId="0" borderId="4" xfId="10" applyFont="1" applyFill="1" applyBorder="1" applyAlignment="1">
      <alignment horizontal="left" wrapText="1" indent="1"/>
    </xf>
    <xf numFmtId="0" fontId="14" fillId="0" borderId="7" xfId="10" applyFont="1" applyFill="1" applyBorder="1" applyAlignment="1">
      <alignment horizontal="left" wrapText="1" indent="1"/>
    </xf>
    <xf numFmtId="0" fontId="14" fillId="15" borderId="7" xfId="12" applyFont="1" applyFill="1" applyBorder="1" applyAlignment="1">
      <alignment horizontal="left" indent="1"/>
    </xf>
    <xf numFmtId="0" fontId="14" fillId="15" borderId="7" xfId="7" applyFont="1" applyFill="1" applyBorder="1" applyAlignment="1">
      <alignment horizontal="left" vertical="top" wrapText="1" indent="1"/>
    </xf>
    <xf numFmtId="0" fontId="14" fillId="15" borderId="7" xfId="7" applyFont="1" applyFill="1" applyBorder="1" applyAlignment="1">
      <alignment horizontal="left" vertical="center" wrapText="1"/>
    </xf>
    <xf numFmtId="0" fontId="14" fillId="17" borderId="7" xfId="7" applyFont="1" applyFill="1" applyBorder="1" applyAlignment="1">
      <alignment horizontal="left" vertical="top" wrapText="1" indent="1"/>
    </xf>
    <xf numFmtId="0" fontId="14" fillId="17" borderId="7" xfId="7" applyFont="1" applyFill="1" applyBorder="1" applyAlignment="1">
      <alignment horizontal="left" indent="1"/>
    </xf>
    <xf numFmtId="0" fontId="14" fillId="17" borderId="7" xfId="7" applyFont="1" applyFill="1" applyBorder="1" applyAlignment="1">
      <alignment horizontal="left" vertical="center" wrapText="1" indent="2"/>
    </xf>
    <xf numFmtId="0" fontId="14" fillId="17" borderId="7" xfId="7" applyFont="1" applyFill="1" applyBorder="1" applyAlignment="1">
      <alignment horizontal="left" vertical="top" wrapText="1" indent="2"/>
    </xf>
    <xf numFmtId="0" fontId="14" fillId="15" borderId="7" xfId="7" applyFont="1" applyFill="1" applyBorder="1" applyAlignment="1">
      <alignment horizontal="left" vertical="center" wrapText="1" indent="2"/>
    </xf>
    <xf numFmtId="0" fontId="14" fillId="17" borderId="7" xfId="12" applyFont="1" applyFill="1" applyBorder="1" applyAlignment="1">
      <alignment horizontal="left" indent="1"/>
    </xf>
    <xf numFmtId="0" fontId="14" fillId="15" borderId="7" xfId="12" applyFont="1" applyFill="1" applyBorder="1" applyAlignment="1">
      <alignment horizontal="left" indent="2"/>
    </xf>
    <xf numFmtId="0" fontId="14" fillId="17" borderId="7" xfId="12" applyFont="1" applyFill="1" applyBorder="1" applyAlignment="1">
      <alignment horizontal="left" indent="2"/>
    </xf>
    <xf numFmtId="0" fontId="14" fillId="0" borderId="4" xfId="7" applyFont="1" applyBorder="1" applyAlignment="1">
      <alignment horizontal="left" indent="1"/>
    </xf>
    <xf numFmtId="0" fontId="14" fillId="0" borderId="7" xfId="7" applyFont="1" applyBorder="1" applyAlignment="1">
      <alignment horizontal="left" indent="1"/>
    </xf>
    <xf numFmtId="0" fontId="14" fillId="15" borderId="7" xfId="10" applyFont="1" applyFill="1" applyBorder="1" applyAlignment="1">
      <alignment horizontal="left" vertical="center" wrapText="1" indent="1"/>
    </xf>
    <xf numFmtId="0" fontId="20" fillId="0" borderId="15" xfId="7" applyFont="1" applyBorder="1"/>
    <xf numFmtId="0" fontId="28" fillId="16" borderId="0" xfId="12" applyFont="1" applyFill="1" applyBorder="1"/>
    <xf numFmtId="0" fontId="29" fillId="16" borderId="0" xfId="7" applyFont="1" applyFill="1" applyBorder="1"/>
    <xf numFmtId="0" fontId="14" fillId="15" borderId="5" xfId="10" applyFont="1" applyFill="1" applyBorder="1" applyAlignment="1">
      <alignment horizontal="center" vertical="center" wrapText="1"/>
    </xf>
    <xf numFmtId="3" fontId="68" fillId="15" borderId="2" xfId="10" applyNumberFormat="1" applyFont="1" applyFill="1" applyBorder="1" applyAlignment="1">
      <alignment horizontal="center" vertical="center" wrapText="1"/>
    </xf>
    <xf numFmtId="3" fontId="68" fillId="15" borderId="5" xfId="10" applyNumberFormat="1" applyFont="1" applyFill="1" applyBorder="1" applyAlignment="1">
      <alignment horizontal="center" vertical="center" wrapText="1"/>
    </xf>
    <xf numFmtId="0" fontId="14" fillId="15" borderId="4" xfId="10" applyFont="1" applyFill="1" applyBorder="1" applyAlignment="1">
      <alignment horizontal="left" wrapText="1" indent="1"/>
    </xf>
    <xf numFmtId="0" fontId="14" fillId="15" borderId="4" xfId="10" applyFont="1" applyFill="1" applyBorder="1" applyAlignment="1">
      <alignment horizontal="left" vertical="center" wrapText="1" indent="1"/>
    </xf>
    <xf numFmtId="0" fontId="20" fillId="0" borderId="7" xfId="12" applyFont="1" applyBorder="1" applyAlignment="1">
      <alignment vertical="center"/>
    </xf>
    <xf numFmtId="0" fontId="14" fillId="0" borderId="4" xfId="12" applyFont="1" applyBorder="1" applyAlignment="1">
      <alignment vertical="center"/>
    </xf>
    <xf numFmtId="0" fontId="14" fillId="0" borderId="7" xfId="12" applyFont="1" applyBorder="1" applyAlignment="1">
      <alignment vertical="center"/>
    </xf>
    <xf numFmtId="0" fontId="20" fillId="0" borderId="7" xfId="12" applyFont="1" applyBorder="1"/>
    <xf numFmtId="0" fontId="14" fillId="15" borderId="7" xfId="12" applyFont="1" applyFill="1" applyBorder="1" applyAlignment="1">
      <alignment horizontal="left" vertical="center" indent="1"/>
    </xf>
    <xf numFmtId="0" fontId="14" fillId="18" borderId="7" xfId="12" applyFont="1" applyFill="1" applyBorder="1" applyAlignment="1">
      <alignment horizontal="left" indent="2"/>
    </xf>
    <xf numFmtId="0" fontId="20" fillId="18" borderId="7" xfId="12" applyFont="1" applyFill="1" applyBorder="1"/>
    <xf numFmtId="0" fontId="14" fillId="0" borderId="7" xfId="12" applyFont="1" applyBorder="1" applyAlignment="1">
      <alignment horizontal="left" indent="2"/>
    </xf>
    <xf numFmtId="0" fontId="21" fillId="18" borderId="7" xfId="12" applyFont="1" applyFill="1" applyBorder="1" applyAlignment="1">
      <alignment horizontal="left" indent="1"/>
    </xf>
    <xf numFmtId="0" fontId="14" fillId="15" borderId="7" xfId="12" applyFont="1" applyFill="1" applyBorder="1" applyAlignment="1">
      <alignment horizontal="left" wrapText="1" indent="1"/>
    </xf>
    <xf numFmtId="0" fontId="14" fillId="18" borderId="7" xfId="12" applyFont="1" applyFill="1" applyBorder="1" applyAlignment="1">
      <alignment horizontal="left" indent="1"/>
    </xf>
    <xf numFmtId="0" fontId="14" fillId="0" borderId="7" xfId="12" applyFont="1" applyBorder="1" applyAlignment="1">
      <alignment horizontal="left" indent="1"/>
    </xf>
    <xf numFmtId="0" fontId="14" fillId="0" borderId="4" xfId="12" applyFont="1" applyBorder="1"/>
    <xf numFmtId="0" fontId="59" fillId="0" borderId="7" xfId="12" applyFont="1" applyBorder="1"/>
    <xf numFmtId="0" fontId="14" fillId="15" borderId="7" xfId="12" applyFont="1" applyFill="1" applyBorder="1" applyAlignment="1">
      <alignment horizontal="left" vertical="center"/>
    </xf>
    <xf numFmtId="0" fontId="21" fillId="18" borderId="7" xfId="12" applyFont="1" applyFill="1" applyBorder="1" applyAlignment="1">
      <alignment horizontal="left"/>
    </xf>
    <xf numFmtId="0" fontId="21" fillId="0" borderId="4" xfId="12" applyFont="1" applyBorder="1"/>
    <xf numFmtId="0" fontId="21" fillId="0" borderId="7" xfId="12" applyFont="1" applyBorder="1"/>
    <xf numFmtId="0" fontId="20" fillId="0" borderId="15" xfId="12" applyFont="1" applyBorder="1"/>
    <xf numFmtId="3" fontId="68" fillId="15" borderId="0" xfId="7" applyNumberFormat="1" applyFont="1" applyFill="1" applyAlignment="1">
      <alignment horizontal="center" vertical="center"/>
    </xf>
    <xf numFmtId="3" fontId="68" fillId="15" borderId="6" xfId="7" applyNumberFormat="1" applyFont="1" applyFill="1" applyBorder="1" applyAlignment="1">
      <alignment horizontal="center" vertical="center"/>
    </xf>
    <xf numFmtId="3" fontId="68" fillId="15" borderId="7" xfId="7" applyNumberFormat="1" applyFont="1" applyFill="1" applyBorder="1" applyAlignment="1">
      <alignment horizontal="center" vertical="center"/>
    </xf>
    <xf numFmtId="165" fontId="14" fillId="17" borderId="6" xfId="7" applyNumberFormat="1" applyFont="1" applyFill="1" applyBorder="1" applyAlignment="1">
      <alignment horizontal="center"/>
    </xf>
    <xf numFmtId="165" fontId="14" fillId="17" borderId="0" xfId="7" applyNumberFormat="1" applyFont="1" applyFill="1" applyAlignment="1">
      <alignment horizontal="center"/>
    </xf>
    <xf numFmtId="0" fontId="14" fillId="0" borderId="18" xfId="10" applyFont="1" applyBorder="1"/>
    <xf numFmtId="0" fontId="20" fillId="0" borderId="7" xfId="11" applyFont="1" applyBorder="1"/>
    <xf numFmtId="0" fontId="20" fillId="0" borderId="7" xfId="10" applyFont="1" applyBorder="1" applyAlignment="1">
      <alignment vertical="center"/>
    </xf>
    <xf numFmtId="0" fontId="20" fillId="0" borderId="4" xfId="10" applyFont="1" applyBorder="1"/>
    <xf numFmtId="0" fontId="14" fillId="0" borderId="7" xfId="10" applyFont="1" applyBorder="1"/>
    <xf numFmtId="0" fontId="14" fillId="15" borderId="7" xfId="10" applyFont="1" applyFill="1" applyBorder="1" applyAlignment="1"/>
    <xf numFmtId="0" fontId="14" fillId="15" borderId="7" xfId="10" applyFont="1" applyFill="1" applyBorder="1" applyAlignment="1">
      <alignment horizontal="left"/>
    </xf>
    <xf numFmtId="0" fontId="14" fillId="18" borderId="7" xfId="10" applyFont="1" applyFill="1" applyBorder="1"/>
    <xf numFmtId="0" fontId="14" fillId="17" borderId="7" xfId="10" applyFont="1" applyFill="1" applyBorder="1"/>
    <xf numFmtId="0" fontId="14" fillId="0" borderId="4" xfId="10" applyFont="1" applyFill="1" applyBorder="1"/>
    <xf numFmtId="0" fontId="14" fillId="0" borderId="7" xfId="10" applyFont="1" applyFill="1" applyBorder="1"/>
    <xf numFmtId="0" fontId="14" fillId="15" borderId="7" xfId="10" applyFont="1" applyFill="1" applyBorder="1"/>
    <xf numFmtId="0" fontId="21" fillId="15" borderId="7" xfId="10" applyFont="1" applyFill="1" applyBorder="1" applyAlignment="1">
      <alignment horizontal="left"/>
    </xf>
    <xf numFmtId="0" fontId="14" fillId="15" borderId="7" xfId="10" applyFont="1" applyFill="1" applyBorder="1" applyAlignment="1">
      <alignment wrapText="1"/>
    </xf>
    <xf numFmtId="0" fontId="14" fillId="0" borderId="15" xfId="10" applyFont="1" applyFill="1" applyBorder="1"/>
    <xf numFmtId="0" fontId="21" fillId="15" borderId="7" xfId="10" applyFont="1" applyFill="1" applyBorder="1" applyAlignment="1">
      <alignment horizontal="left" indent="1"/>
    </xf>
    <xf numFmtId="0" fontId="14" fillId="15" borderId="7" xfId="10" applyFont="1" applyFill="1" applyBorder="1" applyAlignment="1">
      <alignment horizontal="left" indent="2"/>
    </xf>
    <xf numFmtId="0" fontId="14" fillId="15" borderId="7" xfId="10" applyFont="1" applyFill="1" applyBorder="1" applyAlignment="1">
      <alignment horizontal="left" wrapText="1" indent="2"/>
    </xf>
    <xf numFmtId="0" fontId="14" fillId="18" borderId="7" xfId="10" applyFont="1" applyFill="1" applyBorder="1" applyAlignment="1">
      <alignment horizontal="left" indent="2"/>
    </xf>
    <xf numFmtId="0" fontId="14" fillId="17" borderId="7" xfId="10" applyFont="1" applyFill="1" applyBorder="1" applyAlignment="1">
      <alignment horizontal="left" indent="2"/>
    </xf>
    <xf numFmtId="0" fontId="20" fillId="18" borderId="7" xfId="10" applyFont="1" applyFill="1" applyBorder="1"/>
    <xf numFmtId="0" fontId="29" fillId="0" borderId="7" xfId="10" applyFont="1" applyFill="1" applyBorder="1"/>
    <xf numFmtId="0" fontId="0" fillId="0" borderId="0" xfId="0" applyFont="1" applyFill="1"/>
    <xf numFmtId="0" fontId="8" fillId="4" borderId="0" xfId="23" applyFont="1" applyFill="1" applyAlignment="1">
      <alignment horizontal="left"/>
    </xf>
    <xf numFmtId="0" fontId="8" fillId="4" borderId="0" xfId="23" quotePrefix="1" applyFont="1" applyFill="1" applyAlignment="1">
      <alignment horizontal="left"/>
    </xf>
    <xf numFmtId="177" fontId="8" fillId="4" borderId="0" xfId="23" applyNumberFormat="1" applyFont="1" applyFill="1" applyAlignment="1">
      <alignment horizontal="center" vertical="center"/>
    </xf>
    <xf numFmtId="0" fontId="82" fillId="0" borderId="0" xfId="0" applyFont="1"/>
    <xf numFmtId="177" fontId="8" fillId="0" borderId="0" xfId="23" applyNumberFormat="1" applyFont="1" applyFill="1" applyAlignment="1">
      <alignment horizontal="center" vertical="center"/>
    </xf>
    <xf numFmtId="0" fontId="8" fillId="0" borderId="0" xfId="23" quotePrefix="1" applyFont="1" applyFill="1" applyAlignment="1">
      <alignment horizontal="left"/>
    </xf>
    <xf numFmtId="10" fontId="20" fillId="4" borderId="0" xfId="4" applyNumberFormat="1" applyFont="1" applyFill="1" applyAlignment="1">
      <alignment horizontal="right" indent="2"/>
    </xf>
    <xf numFmtId="171" fontId="14" fillId="4" borderId="0" xfId="13" applyNumberFormat="1" applyFont="1" applyFill="1" applyAlignment="1">
      <alignment horizontal="right" wrapText="1" indent="2"/>
    </xf>
    <xf numFmtId="171" fontId="14" fillId="4" borderId="0" xfId="13" applyNumberFormat="1" applyFont="1" applyFill="1" applyAlignment="1">
      <alignment horizontal="right" wrapText="1" indent="3"/>
    </xf>
    <xf numFmtId="171" fontId="14" fillId="4" borderId="0" xfId="13" applyNumberFormat="1" applyFont="1" applyFill="1" applyAlignment="1">
      <alignment horizontal="right" wrapText="1"/>
    </xf>
    <xf numFmtId="10" fontId="20" fillId="4" borderId="0" xfId="4" applyNumberFormat="1" applyFont="1" applyFill="1" applyAlignment="1">
      <alignment horizontal="right" indent="1"/>
    </xf>
    <xf numFmtId="173" fontId="20" fillId="4" borderId="0" xfId="13" applyNumberFormat="1" applyFont="1" applyFill="1" applyAlignment="1">
      <alignment horizontal="right" wrapText="1" indent="3"/>
    </xf>
    <xf numFmtId="171" fontId="11" fillId="0" borderId="0" xfId="2" applyNumberFormat="1">
      <alignment vertical="center"/>
    </xf>
    <xf numFmtId="9" fontId="11" fillId="0" borderId="0" xfId="4" applyFont="1"/>
    <xf numFmtId="0" fontId="20" fillId="0" borderId="0" xfId="10" applyFont="1" applyFill="1" applyBorder="1"/>
    <xf numFmtId="0" fontId="14" fillId="2" borderId="0" xfId="10" applyFont="1" applyFill="1" applyAlignment="1">
      <alignment horizontal="left"/>
    </xf>
    <xf numFmtId="0" fontId="14" fillId="2" borderId="0" xfId="10" applyFont="1" applyFill="1" applyBorder="1" applyAlignment="1">
      <alignment horizontal="left"/>
    </xf>
    <xf numFmtId="173" fontId="14" fillId="2" borderId="0" xfId="10" applyNumberFormat="1" applyFont="1" applyFill="1" applyAlignment="1">
      <alignment horizontal="left"/>
    </xf>
    <xf numFmtId="173" fontId="14" fillId="7" borderId="0" xfId="10" applyNumberFormat="1" applyFont="1" applyFill="1" applyAlignment="1">
      <alignment horizontal="left"/>
    </xf>
    <xf numFmtId="173" fontId="50" fillId="0" borderId="0" xfId="10" applyNumberFormat="1" applyFont="1" applyFill="1" applyBorder="1" applyAlignment="1">
      <alignment horizontal="right" wrapText="1" indent="4"/>
    </xf>
    <xf numFmtId="173" fontId="14" fillId="4" borderId="0" xfId="10" applyNumberFormat="1" applyFont="1" applyFill="1" applyBorder="1" applyAlignment="1">
      <alignment horizontal="left" indent="1"/>
    </xf>
    <xf numFmtId="0" fontId="20" fillId="4" borderId="0" xfId="10" applyFont="1" applyFill="1" applyBorder="1" applyAlignment="1">
      <alignment horizontal="left"/>
    </xf>
    <xf numFmtId="173" fontId="20" fillId="4" borderId="0" xfId="10" applyNumberFormat="1" applyFont="1" applyFill="1" applyBorder="1" applyAlignment="1">
      <alignment horizontal="right" indent="2"/>
    </xf>
    <xf numFmtId="173" fontId="20" fillId="4" borderId="0" xfId="10" applyNumberFormat="1" applyFont="1" applyFill="1" applyBorder="1" applyAlignment="1">
      <alignment horizontal="right" indent="4"/>
    </xf>
    <xf numFmtId="173" fontId="20" fillId="4" borderId="0" xfId="10" applyNumberFormat="1" applyFont="1" applyFill="1" applyBorder="1" applyAlignment="1">
      <alignment horizontal="right" indent="3"/>
    </xf>
    <xf numFmtId="170" fontId="14" fillId="4" borderId="0" xfId="0" applyNumberFormat="1" applyFont="1" applyFill="1" applyAlignment="1">
      <alignment horizontal="right" vertical="center" indent="3"/>
    </xf>
    <xf numFmtId="0" fontId="14" fillId="2" borderId="0" xfId="10" applyFont="1" applyFill="1" applyAlignment="1">
      <alignment horizontal="left" vertical="center"/>
    </xf>
    <xf numFmtId="0" fontId="16" fillId="3" borderId="0" xfId="20" applyFont="1" applyFill="1"/>
    <xf numFmtId="0" fontId="14" fillId="3" borderId="0" xfId="20" applyFont="1" applyFill="1"/>
    <xf numFmtId="173" fontId="14" fillId="5" borderId="0" xfId="13" applyNumberFormat="1" applyFont="1" applyFill="1" applyAlignment="1">
      <alignment horizontal="right" wrapText="1" indent="8"/>
    </xf>
    <xf numFmtId="173" fontId="20" fillId="4" borderId="0" xfId="10" applyNumberFormat="1" applyFont="1" applyFill="1" applyBorder="1" applyAlignment="1">
      <alignment horizontal="right" indent="6"/>
    </xf>
    <xf numFmtId="173" fontId="50" fillId="4" borderId="0" xfId="10" applyNumberFormat="1" applyFont="1" applyFill="1" applyBorder="1" applyAlignment="1">
      <alignment horizontal="right" wrapText="1" indent="4"/>
    </xf>
    <xf numFmtId="0" fontId="28" fillId="5" borderId="0" xfId="12" applyFont="1" applyFill="1" applyBorder="1"/>
    <xf numFmtId="173" fontId="14" fillId="9" borderId="0" xfId="13" applyNumberFormat="1" applyFont="1" applyFill="1" applyBorder="1" applyAlignment="1">
      <alignment horizontal="right" wrapText="1" indent="2"/>
    </xf>
    <xf numFmtId="173" fontId="20" fillId="5" borderId="0" xfId="13" applyNumberFormat="1" applyFont="1" applyFill="1" applyBorder="1" applyAlignment="1">
      <alignment horizontal="right" wrapText="1" indent="4"/>
    </xf>
    <xf numFmtId="173" fontId="20" fillId="5" borderId="0" xfId="13" applyNumberFormat="1" applyFont="1" applyFill="1" applyBorder="1" applyAlignment="1">
      <alignment horizontal="right" wrapText="1" indent="6"/>
    </xf>
    <xf numFmtId="173" fontId="20" fillId="5" borderId="0" xfId="13" applyNumberFormat="1" applyFont="1" applyFill="1" applyBorder="1" applyAlignment="1">
      <alignment horizontal="right" wrapText="1" indent="3"/>
    </xf>
    <xf numFmtId="0" fontId="28" fillId="5" borderId="0" xfId="12" applyFont="1" applyFill="1" applyBorder="1" applyAlignment="1">
      <alignment horizontal="right" indent="4"/>
    </xf>
    <xf numFmtId="173" fontId="20" fillId="4" borderId="0" xfId="10" applyNumberFormat="1" applyFont="1" applyFill="1" applyBorder="1" applyAlignment="1">
      <alignment wrapText="1"/>
    </xf>
    <xf numFmtId="173" fontId="50" fillId="4" borderId="0" xfId="10" applyNumberFormat="1" applyFont="1" applyFill="1" applyBorder="1" applyAlignment="1">
      <alignment horizontal="right" wrapText="1" indent="6"/>
    </xf>
    <xf numFmtId="171" fontId="14" fillId="0" borderId="0" xfId="24" applyNumberFormat="1" applyFont="1" applyFill="1" applyAlignment="1">
      <alignment horizontal="right" vertical="center"/>
    </xf>
    <xf numFmtId="0" fontId="33" fillId="0" borderId="0" xfId="0" applyFont="1" applyFill="1"/>
    <xf numFmtId="186" fontId="49" fillId="0" borderId="0" xfId="0" applyNumberFormat="1" applyFont="1" applyBorder="1" applyAlignment="1">
      <alignment vertical="center"/>
    </xf>
    <xf numFmtId="174" fontId="0" fillId="0" borderId="0" xfId="0" applyNumberFormat="1" applyFill="1"/>
    <xf numFmtId="2" fontId="49" fillId="0" borderId="0" xfId="0" applyNumberFormat="1" applyFont="1" applyFill="1" applyBorder="1" applyAlignment="1">
      <alignment horizontal="right" indent="1"/>
    </xf>
    <xf numFmtId="187" fontId="49" fillId="0" borderId="0" xfId="0" applyNumberFormat="1" applyFont="1" applyFill="1" applyBorder="1" applyAlignment="1">
      <alignment horizontal="right" indent="1"/>
    </xf>
    <xf numFmtId="0" fontId="12" fillId="0" borderId="0" xfId="0" applyFont="1" applyFill="1" applyBorder="1" applyAlignment="1">
      <alignment horizontal="right"/>
    </xf>
    <xf numFmtId="9" fontId="11" fillId="0" borderId="0" xfId="2" applyNumberFormat="1" applyFill="1" applyAlignment="1">
      <alignment horizontal="right" vertical="center"/>
    </xf>
    <xf numFmtId="0" fontId="49" fillId="10" borderId="0" xfId="2" applyNumberFormat="1" applyFont="1" applyFill="1" applyBorder="1" applyAlignment="1">
      <alignment horizontal="right" vertical="center"/>
    </xf>
    <xf numFmtId="170" fontId="11" fillId="0" borderId="0" xfId="4" applyNumberFormat="1" applyFont="1" applyFill="1" applyBorder="1"/>
    <xf numFmtId="171" fontId="11" fillId="0" borderId="0" xfId="0" applyNumberFormat="1" applyFont="1" applyFill="1" applyBorder="1"/>
    <xf numFmtId="183" fontId="0" fillId="7" borderId="0" xfId="0" applyNumberFormat="1" applyFill="1" applyAlignment="1">
      <alignment horizontal="center" vertical="center"/>
    </xf>
    <xf numFmtId="0" fontId="0" fillId="7" borderId="0" xfId="0" applyFont="1" applyFill="1"/>
    <xf numFmtId="0" fontId="49" fillId="0" borderId="0" xfId="4" applyNumberFormat="1" applyFont="1" applyFill="1" applyAlignment="1">
      <alignment vertical="center"/>
    </xf>
    <xf numFmtId="9" fontId="51" fillId="0" borderId="0" xfId="4" applyFont="1"/>
    <xf numFmtId="178" fontId="14" fillId="7" borderId="0" xfId="0" applyNumberFormat="1" applyFont="1" applyFill="1" applyAlignment="1">
      <alignment horizontal="right"/>
    </xf>
    <xf numFmtId="0" fontId="0" fillId="0" borderId="0" xfId="2" applyFont="1" applyFill="1">
      <alignment vertical="center"/>
    </xf>
    <xf numFmtId="9" fontId="85" fillId="0" borderId="0" xfId="4" applyFont="1"/>
    <xf numFmtId="183" fontId="20" fillId="0" borderId="0" xfId="31" applyNumberFormat="1" applyFont="1" applyFill="1" applyAlignment="1">
      <alignment horizontal="right" vertical="center"/>
    </xf>
    <xf numFmtId="1" fontId="0" fillId="0" borderId="0" xfId="0" applyNumberFormat="1"/>
    <xf numFmtId="173" fontId="50" fillId="8" borderId="0" xfId="10" applyNumberFormat="1" applyFont="1" applyFill="1" applyBorder="1" applyAlignment="1">
      <alignment horizontal="right" wrapText="1" indent="4"/>
    </xf>
    <xf numFmtId="3" fontId="49" fillId="0" borderId="0" xfId="0" applyNumberFormat="1" applyFont="1" applyFill="1" applyAlignment="1">
      <alignment horizontal="right" vertical="center"/>
    </xf>
    <xf numFmtId="170" fontId="14" fillId="0" borderId="0" xfId="4" applyNumberFormat="1" applyFont="1" applyFill="1" applyAlignment="1">
      <alignment vertical="center"/>
    </xf>
    <xf numFmtId="170" fontId="49" fillId="0" borderId="0" xfId="4" applyNumberFormat="1" applyFont="1" applyFill="1" applyBorder="1" applyAlignment="1">
      <alignment vertical="center"/>
    </xf>
    <xf numFmtId="173" fontId="50" fillId="4" borderId="0" xfId="10" applyNumberFormat="1" applyFont="1" applyFill="1" applyBorder="1" applyAlignment="1">
      <alignment horizontal="right" vertical="center" indent="4"/>
    </xf>
    <xf numFmtId="172" fontId="11" fillId="0" borderId="0" xfId="2" applyNumberFormat="1" applyAlignment="1">
      <alignment vertical="center" wrapText="1"/>
    </xf>
    <xf numFmtId="172" fontId="11" fillId="0" borderId="0" xfId="2" applyNumberFormat="1" applyFill="1" applyAlignment="1">
      <alignment horizontal="left" vertical="center" indent="2"/>
    </xf>
    <xf numFmtId="0" fontId="8" fillId="0" borderId="0" xfId="23" applyFont="1" applyFill="1" applyAlignment="1">
      <alignment horizontal="left"/>
    </xf>
    <xf numFmtId="164" fontId="14" fillId="4" borderId="0" xfId="0" applyNumberFormat="1" applyFont="1" applyFill="1" applyAlignment="1">
      <alignment horizontal="right" indent="3"/>
    </xf>
    <xf numFmtId="178" fontId="51" fillId="0" borderId="0" xfId="0" applyNumberFormat="1" applyFont="1" applyFill="1" applyAlignment="1">
      <alignment horizontal="right"/>
    </xf>
    <xf numFmtId="0" fontId="51" fillId="0" borderId="0" xfId="0" applyFont="1" applyFill="1" applyAlignment="1">
      <alignment horizontal="right"/>
    </xf>
    <xf numFmtId="0" fontId="51" fillId="0" borderId="0" xfId="0" applyFont="1" applyAlignment="1">
      <alignment horizontal="right"/>
    </xf>
    <xf numFmtId="0" fontId="85" fillId="0" borderId="0" xfId="0" applyFont="1" applyAlignment="1">
      <alignment horizontal="right"/>
    </xf>
    <xf numFmtId="0" fontId="86" fillId="0" borderId="0" xfId="0" applyFont="1" applyAlignment="1">
      <alignment vertical="center"/>
    </xf>
    <xf numFmtId="3" fontId="86" fillId="0" borderId="0" xfId="0" applyNumberFormat="1" applyFont="1" applyFill="1" applyAlignment="1">
      <alignment vertical="center"/>
    </xf>
    <xf numFmtId="0" fontId="51" fillId="0" borderId="0" xfId="3" applyFont="1" applyFill="1" applyAlignment="1"/>
    <xf numFmtId="0" fontId="51" fillId="0" borderId="0" xfId="0" applyFont="1" applyAlignment="1"/>
    <xf numFmtId="0" fontId="86" fillId="0" borderId="0" xfId="0" applyFont="1"/>
    <xf numFmtId="0" fontId="86" fillId="0" borderId="0" xfId="0" applyFont="1" applyAlignment="1">
      <alignment horizontal="center"/>
    </xf>
    <xf numFmtId="0" fontId="86" fillId="0" borderId="0" xfId="0" applyFont="1" applyFill="1"/>
    <xf numFmtId="10" fontId="86" fillId="0" borderId="0" xfId="3" applyNumberFormat="1" applyFont="1" applyFill="1" applyAlignment="1">
      <alignment horizontal="right"/>
    </xf>
    <xf numFmtId="10" fontId="86" fillId="0" borderId="0" xfId="3" applyNumberFormat="1" applyFont="1" applyAlignment="1">
      <alignment horizontal="right"/>
    </xf>
    <xf numFmtId="0" fontId="86" fillId="0" borderId="0" xfId="2" applyFont="1" applyFill="1" applyAlignment="1">
      <alignment horizontal="right" vertical="center"/>
    </xf>
    <xf numFmtId="10" fontId="86" fillId="0" borderId="0" xfId="4" applyNumberFormat="1" applyFont="1" applyFill="1" applyAlignment="1">
      <alignment horizontal="right"/>
    </xf>
    <xf numFmtId="182" fontId="49" fillId="0" borderId="0" xfId="0" quotePrefix="1" applyNumberFormat="1" applyFont="1" applyFill="1" applyBorder="1" applyAlignment="1">
      <alignment vertical="center"/>
    </xf>
    <xf numFmtId="0" fontId="12" fillId="0" borderId="0" xfId="2" applyFont="1" applyFill="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9" fontId="20" fillId="0" borderId="2" xfId="4" applyFont="1" applyFill="1" applyBorder="1" applyAlignment="1">
      <alignment horizontal="right" vertical="center" wrapText="1"/>
    </xf>
    <xf numFmtId="0" fontId="52" fillId="0" borderId="0" xfId="2" applyFont="1" applyBorder="1" applyAlignment="1">
      <alignment horizontal="center" vertical="center"/>
    </xf>
    <xf numFmtId="0" fontId="52" fillId="0" borderId="1" xfId="2" applyFont="1" applyBorder="1">
      <alignment vertical="center"/>
    </xf>
    <xf numFmtId="0" fontId="32" fillId="0" borderId="0" xfId="0" applyFont="1" applyFill="1"/>
    <xf numFmtId="0" fontId="82" fillId="0" borderId="0" xfId="0" applyFont="1" applyFill="1"/>
    <xf numFmtId="0" fontId="83" fillId="0" borderId="1" xfId="23" applyFont="1" applyFill="1" applyBorder="1" applyAlignment="1">
      <alignment horizontal="centerContinuous"/>
    </xf>
    <xf numFmtId="0" fontId="83" fillId="0" borderId="0" xfId="23" applyFont="1" applyFill="1" applyAlignment="1">
      <alignment horizontal="centerContinuous"/>
    </xf>
    <xf numFmtId="0" fontId="20" fillId="0" borderId="0" xfId="10" applyFont="1" applyFill="1" applyBorder="1" applyAlignment="1">
      <alignment horizontal="center"/>
    </xf>
    <xf numFmtId="0" fontId="8" fillId="0" borderId="0" xfId="23" applyFont="1" applyFill="1"/>
    <xf numFmtId="0" fontId="20" fillId="0" borderId="0" xfId="11" applyFont="1" applyFill="1" applyAlignment="1">
      <alignment horizontal="center" vertical="center"/>
    </xf>
    <xf numFmtId="0" fontId="20" fillId="0" borderId="0" xfId="7" applyFont="1" applyFill="1" applyAlignment="1">
      <alignment horizontal="center" wrapText="1"/>
    </xf>
    <xf numFmtId="0" fontId="14" fillId="0" borderId="0" xfId="0" applyFont="1" applyFill="1" applyAlignment="1">
      <alignment horizontal="right" indent="3"/>
    </xf>
    <xf numFmtId="43" fontId="37" fillId="0" borderId="0" xfId="0" applyNumberFormat="1" applyFont="1" applyFill="1"/>
    <xf numFmtId="0" fontId="39" fillId="0" borderId="0" xfId="23" quotePrefix="1" applyFont="1" applyFill="1" applyAlignment="1">
      <alignment horizontal="right" indent="3"/>
    </xf>
    <xf numFmtId="164" fontId="37" fillId="0" borderId="0" xfId="0" applyNumberFormat="1" applyFont="1" applyFill="1"/>
    <xf numFmtId="177" fontId="8" fillId="0" borderId="2" xfId="23" applyNumberFormat="1" applyFont="1" applyFill="1" applyBorder="1" applyAlignment="1">
      <alignment horizontal="center" vertical="center"/>
    </xf>
    <xf numFmtId="0" fontId="8" fillId="0" borderId="2" xfId="23" applyFont="1" applyFill="1" applyBorder="1" applyAlignment="1">
      <alignment horizontal="left"/>
    </xf>
    <xf numFmtId="0" fontId="39" fillId="0" borderId="2" xfId="23" applyFont="1" applyFill="1" applyBorder="1" applyAlignment="1">
      <alignment horizontal="right" indent="3"/>
    </xf>
    <xf numFmtId="0" fontId="25" fillId="0" borderId="2" xfId="23" applyFont="1" applyFill="1" applyBorder="1" applyAlignment="1">
      <alignment horizontal="right" indent="3"/>
    </xf>
    <xf numFmtId="0" fontId="39" fillId="0" borderId="0" xfId="23" applyFont="1" applyFill="1" applyAlignment="1">
      <alignment horizontal="right" indent="3"/>
    </xf>
    <xf numFmtId="0" fontId="25" fillId="0" borderId="0" xfId="23" applyFont="1" applyFill="1" applyAlignment="1">
      <alignment horizontal="right" indent="3"/>
    </xf>
    <xf numFmtId="166" fontId="0" fillId="0" borderId="0" xfId="0" applyNumberFormat="1" applyFill="1"/>
    <xf numFmtId="0" fontId="33" fillId="0" borderId="1" xfId="23" applyFill="1" applyBorder="1"/>
    <xf numFmtId="0" fontId="40" fillId="0" borderId="1" xfId="23" applyFont="1" applyFill="1" applyBorder="1" applyAlignment="1">
      <alignment horizontal="right"/>
    </xf>
    <xf numFmtId="0" fontId="8" fillId="0" borderId="1" xfId="23" applyFont="1" applyFill="1" applyBorder="1"/>
    <xf numFmtId="0" fontId="40" fillId="0" borderId="1" xfId="23" quotePrefix="1" applyFont="1" applyFill="1" applyBorder="1" applyAlignment="1">
      <alignment horizontal="right"/>
    </xf>
    <xf numFmtId="0" fontId="14" fillId="0" borderId="0" xfId="10" applyFont="1" applyFill="1" applyAlignment="1">
      <alignment horizontal="left"/>
    </xf>
    <xf numFmtId="164" fontId="33" fillId="0" borderId="0" xfId="23" applyNumberFormat="1" applyFill="1"/>
    <xf numFmtId="9" fontId="33" fillId="0" borderId="0" xfId="9" applyFont="1" applyFill="1"/>
    <xf numFmtId="10" fontId="82" fillId="0" borderId="0" xfId="0" applyNumberFormat="1" applyFont="1" applyFill="1"/>
    <xf numFmtId="10" fontId="32" fillId="0" borderId="0" xfId="0" applyNumberFormat="1" applyFont="1" applyFill="1"/>
    <xf numFmtId="0" fontId="20" fillId="0" borderId="0" xfId="12" applyFont="1" applyFill="1" applyAlignment="1">
      <alignment horizontal="left" vertical="center"/>
    </xf>
    <xf numFmtId="0" fontId="27" fillId="0" borderId="0" xfId="0" applyFont="1" applyFill="1" applyAlignment="1">
      <alignment horizontal="left" wrapText="1"/>
    </xf>
    <xf numFmtId="0" fontId="84" fillId="0" borderId="0" xfId="0" applyFont="1" applyFill="1" applyAlignment="1">
      <alignment horizontal="left" wrapText="1"/>
    </xf>
    <xf numFmtId="0" fontId="20" fillId="0" borderId="0" xfId="10" applyFont="1" applyFill="1" applyAlignment="1">
      <alignment horizontal="center"/>
    </xf>
    <xf numFmtId="164" fontId="14" fillId="0" borderId="0" xfId="0" applyNumberFormat="1" applyFont="1" applyFill="1" applyAlignment="1">
      <alignment horizontal="right" indent="3"/>
    </xf>
    <xf numFmtId="9" fontId="14" fillId="0" borderId="0" xfId="4" applyNumberFormat="1" applyFont="1" applyFill="1" applyBorder="1"/>
    <xf numFmtId="9" fontId="14" fillId="0" borderId="0" xfId="4" applyNumberFormat="1" applyFont="1" applyFill="1"/>
    <xf numFmtId="0" fontId="20" fillId="0" borderId="0" xfId="0" applyFont="1" applyFill="1" applyBorder="1" applyAlignment="1">
      <alignment horizontal="center"/>
    </xf>
    <xf numFmtId="9" fontId="49" fillId="0" borderId="0" xfId="4" applyNumberFormat="1" applyFont="1" applyFill="1" applyBorder="1" applyAlignment="1">
      <alignment horizontal="center"/>
    </xf>
    <xf numFmtId="3" fontId="50" fillId="0" borderId="0" xfId="4" applyNumberFormat="1" applyFont="1" applyFill="1" applyBorder="1" applyAlignment="1">
      <alignment horizontal="center" vertical="center"/>
    </xf>
    <xf numFmtId="9" fontId="20" fillId="0" borderId="0" xfId="4" applyNumberFormat="1" applyFont="1" applyFill="1" applyAlignment="1">
      <alignment horizontal="center" wrapText="1"/>
    </xf>
    <xf numFmtId="9" fontId="20" fillId="0" borderId="0" xfId="4" applyNumberFormat="1" applyFont="1" applyFill="1" applyBorder="1" applyAlignment="1">
      <alignment horizontal="center" wrapText="1"/>
    </xf>
    <xf numFmtId="9" fontId="14" fillId="0" borderId="0" xfId="4" applyFont="1" applyFill="1"/>
    <xf numFmtId="0" fontId="49" fillId="0" borderId="0" xfId="7" applyNumberFormat="1" applyFont="1" applyFill="1" applyBorder="1" applyAlignment="1"/>
    <xf numFmtId="0" fontId="14" fillId="0" borderId="0" xfId="7" applyFont="1" applyFill="1" applyBorder="1"/>
    <xf numFmtId="0" fontId="20" fillId="0" borderId="0" xfId="7" applyFont="1" applyFill="1"/>
    <xf numFmtId="0" fontId="20" fillId="0" borderId="0" xfId="7" applyFont="1" applyFill="1" applyBorder="1"/>
    <xf numFmtId="173" fontId="20" fillId="0" borderId="0" xfId="7" applyNumberFormat="1" applyFont="1" applyFill="1"/>
    <xf numFmtId="172" fontId="14" fillId="0" borderId="0" xfId="0" applyNumberFormat="1" applyFont="1" applyFill="1" applyAlignment="1">
      <alignment horizontal="left"/>
    </xf>
    <xf numFmtId="0" fontId="14" fillId="0" borderId="0" xfId="0" applyFont="1" applyFill="1" applyAlignment="1">
      <alignment horizontal="left"/>
    </xf>
    <xf numFmtId="0" fontId="14" fillId="0" borderId="1" xfId="0" applyFont="1" applyFill="1" applyBorder="1"/>
    <xf numFmtId="0" fontId="14" fillId="0" borderId="0" xfId="0" applyFont="1" applyFill="1" applyAlignment="1">
      <alignment horizontal="center"/>
    </xf>
    <xf numFmtId="0" fontId="20" fillId="0" borderId="0" xfId="12" applyFont="1" applyFill="1" applyAlignment="1">
      <alignment horizontal="left"/>
    </xf>
    <xf numFmtId="0" fontId="20" fillId="0" borderId="2" xfId="0" applyFont="1" applyFill="1" applyBorder="1" applyAlignment="1">
      <alignment horizontal="center" wrapText="1"/>
    </xf>
    <xf numFmtId="0" fontId="50" fillId="0" borderId="0" xfId="0" applyNumberFormat="1" applyFont="1" applyFill="1" applyBorder="1" applyAlignment="1">
      <alignment horizontal="center" wrapText="1"/>
    </xf>
    <xf numFmtId="0" fontId="20" fillId="0" borderId="2" xfId="0" applyFont="1" applyFill="1" applyBorder="1" applyAlignment="1">
      <alignment horizontal="center" wrapText="1"/>
    </xf>
    <xf numFmtId="0" fontId="49" fillId="0" borderId="0" xfId="0" applyNumberFormat="1" applyFont="1" applyFill="1" applyBorder="1" applyAlignment="1">
      <alignment horizontal="center"/>
    </xf>
    <xf numFmtId="0" fontId="14" fillId="0" borderId="0" xfId="12" applyFont="1" applyFill="1"/>
    <xf numFmtId="0" fontId="50" fillId="0" borderId="0" xfId="12" applyNumberFormat="1" applyFont="1" applyFill="1" applyBorder="1" applyAlignment="1">
      <alignment horizontal="center"/>
    </xf>
    <xf numFmtId="0" fontId="50" fillId="0" borderId="0" xfId="12" applyNumberFormat="1" applyFont="1" applyFill="1" applyBorder="1" applyAlignment="1">
      <alignment horizontal="center" vertical="center"/>
    </xf>
    <xf numFmtId="1" fontId="21" fillId="0" borderId="0" xfId="12" applyNumberFormat="1" applyFont="1" applyFill="1" applyAlignment="1">
      <alignment horizontal="center"/>
    </xf>
    <xf numFmtId="3" fontId="21" fillId="0" borderId="0" xfId="10" applyNumberFormat="1" applyFont="1" applyFill="1" applyBorder="1" applyAlignment="1">
      <alignment horizontal="center"/>
    </xf>
    <xf numFmtId="0" fontId="14" fillId="0" borderId="2" xfId="12" applyFont="1" applyFill="1" applyBorder="1" applyAlignment="1">
      <alignment vertical="center"/>
    </xf>
    <xf numFmtId="0" fontId="14" fillId="0" borderId="0" xfId="12" applyFont="1" applyFill="1" applyAlignment="1">
      <alignment vertical="center"/>
    </xf>
    <xf numFmtId="171" fontId="20" fillId="0" borderId="0" xfId="13" applyNumberFormat="1" applyFont="1" applyFill="1" applyAlignment="1">
      <alignment horizontal="right" wrapText="1" indent="3"/>
    </xf>
    <xf numFmtId="0" fontId="49" fillId="0" borderId="0" xfId="0" applyNumberFormat="1" applyFont="1" applyFill="1" applyBorder="1" applyAlignment="1">
      <alignment horizontal="left"/>
    </xf>
    <xf numFmtId="0" fontId="14" fillId="0" borderId="0" xfId="0" applyFont="1" applyFill="1" applyBorder="1" applyAlignment="1">
      <alignment horizontal="left"/>
    </xf>
    <xf numFmtId="0" fontId="31" fillId="0" borderId="0" xfId="12" applyFont="1" applyFill="1" applyBorder="1" applyAlignment="1">
      <alignment horizontal="left" indent="1"/>
    </xf>
    <xf numFmtId="176" fontId="31" fillId="0" borderId="0" xfId="17" applyNumberFormat="1" applyFont="1" applyFill="1" applyBorder="1" applyAlignment="1">
      <alignment horizontal="right" indent="3"/>
    </xf>
    <xf numFmtId="171" fontId="31" fillId="0" borderId="0" xfId="13" applyNumberFormat="1" applyFont="1" applyFill="1" applyBorder="1" applyAlignment="1">
      <alignment horizontal="right" wrapText="1" indent="3"/>
    </xf>
    <xf numFmtId="0" fontId="20" fillId="0" borderId="0" xfId="12" applyFont="1" applyFill="1" applyAlignment="1">
      <alignment horizontal="left" indent="1"/>
    </xf>
    <xf numFmtId="0" fontId="14" fillId="0" borderId="0" xfId="7" applyFont="1" applyFill="1" applyAlignment="1">
      <alignment horizontal="left"/>
    </xf>
    <xf numFmtId="0" fontId="20" fillId="0" borderId="0" xfId="0" applyFont="1" applyFill="1" applyAlignment="1">
      <alignment horizontal="left"/>
    </xf>
    <xf numFmtId="0" fontId="20" fillId="0" borderId="0" xfId="0" applyFont="1" applyFill="1" applyBorder="1" applyAlignment="1">
      <alignment horizontal="left"/>
    </xf>
    <xf numFmtId="0" fontId="31" fillId="0" borderId="0" xfId="12" applyFont="1" applyFill="1" applyBorder="1"/>
    <xf numFmtId="176" fontId="31" fillId="0" borderId="0" xfId="17" applyNumberFormat="1" applyFont="1" applyFill="1" applyBorder="1" applyAlignment="1">
      <alignment horizontal="right" indent="1"/>
    </xf>
    <xf numFmtId="0" fontId="20" fillId="0" borderId="1" xfId="12" applyFont="1" applyFill="1" applyBorder="1"/>
    <xf numFmtId="3" fontId="14" fillId="0" borderId="1" xfId="12" applyNumberFormat="1" applyFont="1" applyFill="1" applyBorder="1" applyAlignment="1">
      <alignment horizontal="center" wrapText="1"/>
    </xf>
    <xf numFmtId="3" fontId="14" fillId="0" borderId="0" xfId="12" applyNumberFormat="1" applyFont="1" applyFill="1" applyAlignment="1">
      <alignment horizontal="center" wrapText="1"/>
    </xf>
    <xf numFmtId="0" fontId="49" fillId="0" borderId="0" xfId="10" applyNumberFormat="1" applyFont="1" applyFill="1" applyBorder="1" applyAlignment="1">
      <alignment horizontal="left" wrapText="1"/>
    </xf>
    <xf numFmtId="0" fontId="14" fillId="0" borderId="0" xfId="10" applyFont="1" applyFill="1" applyAlignment="1">
      <alignment horizontal="left" wrapText="1"/>
    </xf>
    <xf numFmtId="3" fontId="14" fillId="0" borderId="0" xfId="12" applyNumberFormat="1" applyFont="1" applyFill="1"/>
    <xf numFmtId="172" fontId="14" fillId="0" borderId="0" xfId="7" applyNumberFormat="1" applyFont="1" applyFill="1"/>
    <xf numFmtId="172" fontId="49" fillId="0" borderId="0" xfId="7" applyNumberFormat="1" applyFont="1" applyFill="1" applyBorder="1" applyAlignment="1"/>
    <xf numFmtId="0" fontId="11" fillId="0" borderId="0" xfId="2" applyAlignment="1">
      <alignment horizontal="left" vertical="center" wrapText="1" indent="2"/>
    </xf>
    <xf numFmtId="0" fontId="27" fillId="0" borderId="0" xfId="0" applyFont="1" applyFill="1" applyAlignment="1">
      <alignment horizontal="left" wrapText="1"/>
    </xf>
    <xf numFmtId="0" fontId="11" fillId="0" borderId="0" xfId="2" applyFill="1" applyAlignment="1">
      <alignment horizontal="left" vertical="center" wrapText="1" indent="2"/>
    </xf>
    <xf numFmtId="9" fontId="49" fillId="0" borderId="0" xfId="4" applyFont="1" applyFill="1" applyBorder="1" applyAlignment="1"/>
    <xf numFmtId="0" fontId="49" fillId="0" borderId="0" xfId="0" applyNumberFormat="1" applyFont="1" applyFill="1" applyBorder="1" applyAlignment="1">
      <alignment horizontal="right"/>
    </xf>
    <xf numFmtId="0" fontId="53" fillId="0" borderId="0" xfId="0" applyNumberFormat="1" applyFont="1" applyFill="1" applyBorder="1" applyAlignment="1">
      <alignment horizontal="left" wrapText="1"/>
    </xf>
    <xf numFmtId="0" fontId="49" fillId="0" borderId="1" xfId="0" applyNumberFormat="1" applyFont="1" applyFill="1" applyBorder="1" applyAlignment="1"/>
    <xf numFmtId="0" fontId="14" fillId="0" borderId="1" xfId="0" applyFont="1" applyFill="1" applyBorder="1" applyAlignment="1">
      <alignment horizontal="left" indent="2"/>
    </xf>
    <xf numFmtId="0" fontId="14" fillId="0" borderId="0" xfId="0" applyFont="1" applyFill="1" applyBorder="1"/>
    <xf numFmtId="0" fontId="49" fillId="0" borderId="0" xfId="12" applyNumberFormat="1" applyFont="1" applyFill="1" applyBorder="1" applyAlignment="1"/>
    <xf numFmtId="0" fontId="49" fillId="0" borderId="0" xfId="12" applyNumberFormat="1" applyFont="1" applyFill="1" applyBorder="1" applyAlignment="1">
      <alignment vertical="center"/>
    </xf>
    <xf numFmtId="0" fontId="20" fillId="0" borderId="0" xfId="7" applyFont="1" applyFill="1" applyAlignment="1">
      <alignment horizontal="center" vertical="center" wrapText="1"/>
    </xf>
    <xf numFmtId="0" fontId="49" fillId="0" borderId="2" xfId="12" applyNumberFormat="1" applyFont="1" applyFill="1" applyBorder="1" applyAlignment="1">
      <alignment vertical="center"/>
    </xf>
    <xf numFmtId="0" fontId="20" fillId="0" borderId="2" xfId="7" applyFont="1" applyFill="1" applyBorder="1" applyAlignment="1">
      <alignment horizontal="left" wrapText="1" indent="2"/>
    </xf>
    <xf numFmtId="0" fontId="20" fillId="0" borderId="0" xfId="7" applyFont="1" applyFill="1" applyAlignment="1">
      <alignment horizontal="left" wrapText="1" indent="2"/>
    </xf>
    <xf numFmtId="10" fontId="20" fillId="0" borderId="0" xfId="4" applyNumberFormat="1" applyFont="1" applyFill="1" applyBorder="1" applyAlignment="1">
      <alignment horizontal="right" indent="4"/>
    </xf>
    <xf numFmtId="171" fontId="20" fillId="0" borderId="0" xfId="13" applyNumberFormat="1" applyFont="1" applyFill="1" applyAlignment="1">
      <alignment horizontal="right" wrapText="1" indent="2"/>
    </xf>
    <xf numFmtId="171" fontId="20" fillId="0" borderId="0" xfId="13" applyNumberFormat="1" applyFont="1" applyFill="1" applyAlignment="1">
      <alignment horizontal="right" wrapText="1"/>
    </xf>
    <xf numFmtId="0" fontId="48" fillId="0" borderId="0" xfId="12" applyFont="1" applyFill="1" applyBorder="1" applyAlignment="1">
      <alignment horizontal="left" indent="1"/>
    </xf>
    <xf numFmtId="176" fontId="48" fillId="0" borderId="0" xfId="17" applyNumberFormat="1" applyFont="1" applyFill="1" applyBorder="1" applyAlignment="1">
      <alignment horizontal="right" indent="4"/>
    </xf>
    <xf numFmtId="171" fontId="81" fillId="0" borderId="0" xfId="17" applyNumberFormat="1" applyFont="1" applyFill="1" applyBorder="1" applyAlignment="1">
      <alignment horizontal="right" indent="2"/>
    </xf>
    <xf numFmtId="171" fontId="31" fillId="0" borderId="0" xfId="13" applyNumberFormat="1" applyFont="1" applyFill="1" applyBorder="1" applyAlignment="1">
      <alignment horizontal="right" wrapText="1" indent="2"/>
    </xf>
    <xf numFmtId="171" fontId="31" fillId="0" borderId="0" xfId="13" applyNumberFormat="1" applyFont="1" applyFill="1" applyBorder="1" applyAlignment="1">
      <alignment horizontal="right" wrapText="1"/>
    </xf>
    <xf numFmtId="176" fontId="20" fillId="0" borderId="0" xfId="17" applyNumberFormat="1" applyFont="1" applyFill="1" applyBorder="1" applyAlignment="1">
      <alignment horizontal="right" indent="3"/>
    </xf>
    <xf numFmtId="171" fontId="50" fillId="0" borderId="0" xfId="17" applyNumberFormat="1" applyFont="1" applyFill="1" applyBorder="1" applyAlignment="1">
      <alignment horizontal="right" indent="2"/>
    </xf>
    <xf numFmtId="0" fontId="50" fillId="0" borderId="1" xfId="12" applyNumberFormat="1" applyFont="1" applyFill="1" applyBorder="1" applyAlignment="1"/>
    <xf numFmtId="3" fontId="14" fillId="0" borderId="1" xfId="12" applyNumberFormat="1" applyFont="1" applyFill="1" applyBorder="1" applyAlignment="1">
      <alignment horizontal="left" wrapText="1" indent="2"/>
    </xf>
    <xf numFmtId="0" fontId="50" fillId="0" borderId="0" xfId="12" applyNumberFormat="1" applyFont="1" applyFill="1" applyBorder="1" applyAlignment="1"/>
    <xf numFmtId="3" fontId="14" fillId="0" borderId="0" xfId="12" applyNumberFormat="1" applyFont="1" applyFill="1" applyAlignment="1">
      <alignment horizontal="left" wrapText="1" indent="2"/>
    </xf>
    <xf numFmtId="0" fontId="14" fillId="0" borderId="0" xfId="7" applyFont="1" applyFill="1" applyAlignment="1">
      <alignment horizontal="left" indent="2"/>
    </xf>
    <xf numFmtId="3" fontId="14" fillId="0" borderId="0" xfId="12" applyNumberFormat="1" applyFont="1" applyFill="1" applyAlignment="1">
      <alignment horizontal="left" indent="2"/>
    </xf>
    <xf numFmtId="3" fontId="14" fillId="0" borderId="0" xfId="7" applyNumberFormat="1" applyFont="1" applyFill="1" applyAlignment="1">
      <alignment horizontal="left"/>
    </xf>
    <xf numFmtId="0" fontId="27" fillId="0" borderId="0" xfId="7" applyFont="1" applyFill="1" applyAlignment="1">
      <alignment horizontal="left" wrapText="1"/>
    </xf>
    <xf numFmtId="0" fontId="14" fillId="0" borderId="1" xfId="7" applyFont="1" applyFill="1" applyBorder="1"/>
    <xf numFmtId="0" fontId="20" fillId="0" borderId="0" xfId="0" applyFont="1" applyFill="1" applyBorder="1" applyAlignment="1">
      <alignment horizontal="center" wrapText="1"/>
    </xf>
    <xf numFmtId="0" fontId="20" fillId="0" borderId="0" xfId="7" applyFont="1" applyFill="1" applyBorder="1" applyAlignment="1">
      <alignment horizontal="center"/>
    </xf>
    <xf numFmtId="10" fontId="20" fillId="0" borderId="0" xfId="4" applyNumberFormat="1" applyFont="1" applyFill="1" applyAlignment="1">
      <alignment horizontal="right" vertical="center" indent="5"/>
    </xf>
    <xf numFmtId="0" fontId="21" fillId="0" borderId="0" xfId="12" applyFont="1" applyFill="1" applyAlignment="1">
      <alignment horizontal="center"/>
    </xf>
    <xf numFmtId="176" fontId="20" fillId="0" borderId="0" xfId="17" applyNumberFormat="1" applyFont="1" applyFill="1" applyBorder="1" applyAlignment="1">
      <alignment horizontal="center"/>
    </xf>
    <xf numFmtId="171" fontId="20" fillId="0" borderId="0" xfId="17" applyNumberFormat="1" applyFont="1" applyFill="1" applyBorder="1" applyAlignment="1">
      <alignment horizontal="right" indent="3"/>
    </xf>
    <xf numFmtId="171" fontId="14" fillId="0" borderId="0" xfId="12" applyNumberFormat="1" applyFont="1" applyFill="1"/>
    <xf numFmtId="0" fontId="20" fillId="0" borderId="0" xfId="7" applyFont="1" applyFill="1" applyAlignment="1">
      <alignment wrapText="1"/>
    </xf>
    <xf numFmtId="0" fontId="20" fillId="0" borderId="0" xfId="10" applyFont="1" applyFill="1"/>
    <xf numFmtId="3" fontId="14" fillId="0" borderId="0" xfId="10" applyNumberFormat="1" applyFont="1" applyFill="1"/>
    <xf numFmtId="0" fontId="14" fillId="0" borderId="0" xfId="10" applyFont="1" applyFill="1" applyBorder="1" applyAlignment="1"/>
    <xf numFmtId="0" fontId="49" fillId="0" borderId="0" xfId="10" applyNumberFormat="1" applyFont="1" applyFill="1" applyBorder="1" applyAlignment="1"/>
    <xf numFmtId="0" fontId="53" fillId="0" borderId="0" xfId="10" applyNumberFormat="1" applyFont="1" applyFill="1" applyBorder="1" applyAlignment="1">
      <alignment horizontal="left" wrapText="1"/>
    </xf>
    <xf numFmtId="0" fontId="27" fillId="0" borderId="0" xfId="10" applyFont="1" applyFill="1" applyAlignment="1">
      <alignment horizontal="left" wrapText="1"/>
    </xf>
    <xf numFmtId="0" fontId="14" fillId="0" borderId="1" xfId="10" applyFont="1" applyFill="1" applyBorder="1" applyAlignment="1">
      <alignment horizontal="center"/>
    </xf>
    <xf numFmtId="0" fontId="49" fillId="0" borderId="0" xfId="10" applyNumberFormat="1" applyFont="1" applyFill="1" applyBorder="1" applyAlignment="1">
      <alignment horizontal="center"/>
    </xf>
    <xf numFmtId="0" fontId="14" fillId="0" borderId="3" xfId="10" applyFont="1" applyFill="1" applyBorder="1" applyAlignment="1">
      <alignment horizontal="center"/>
    </xf>
    <xf numFmtId="0" fontId="49" fillId="0" borderId="13" xfId="10" applyNumberFormat="1" applyFont="1" applyFill="1" applyBorder="1" applyAlignment="1">
      <alignment horizontal="center"/>
    </xf>
    <xf numFmtId="0" fontId="20" fillId="0" borderId="0" xfId="11" applyFont="1" applyFill="1" applyAlignment="1">
      <alignment horizontal="left" vertical="center"/>
    </xf>
    <xf numFmtId="0" fontId="50" fillId="0" borderId="0" xfId="10" applyNumberFormat="1" applyFont="1" applyFill="1" applyBorder="1" applyAlignment="1">
      <alignment horizontal="center"/>
    </xf>
    <xf numFmtId="0" fontId="50" fillId="0" borderId="0" xfId="7" applyNumberFormat="1" applyFont="1" applyFill="1" applyBorder="1" applyAlignment="1">
      <alignment horizontal="center" wrapText="1"/>
    </xf>
    <xf numFmtId="3" fontId="21" fillId="0" borderId="0" xfId="11" applyNumberFormat="1" applyFont="1" applyFill="1" applyAlignment="1">
      <alignment horizontal="center" vertical="center"/>
    </xf>
    <xf numFmtId="0" fontId="55" fillId="0" borderId="0" xfId="7" applyNumberFormat="1" applyFont="1" applyFill="1" applyBorder="1" applyAlignment="1">
      <alignment horizontal="center" wrapText="1"/>
    </xf>
    <xf numFmtId="0" fontId="20" fillId="0" borderId="2" xfId="10" applyFont="1" applyFill="1" applyBorder="1"/>
    <xf numFmtId="0" fontId="50" fillId="0" borderId="0" xfId="10" applyNumberFormat="1" applyFont="1" applyFill="1" applyBorder="1" applyAlignment="1">
      <alignment horizontal="center" wrapText="1"/>
    </xf>
    <xf numFmtId="4" fontId="14" fillId="0" borderId="0" xfId="10" applyNumberFormat="1" applyFont="1" applyFill="1" applyBorder="1" applyAlignment="1">
      <alignment horizontal="center" wrapText="1"/>
    </xf>
    <xf numFmtId="4" fontId="49" fillId="0" borderId="12" xfId="10" applyNumberFormat="1" applyFont="1" applyFill="1" applyBorder="1" applyAlignment="1">
      <alignment horizontal="center" wrapText="1"/>
    </xf>
    <xf numFmtId="173" fontId="20" fillId="0" borderId="0" xfId="10" applyNumberFormat="1" applyFont="1" applyFill="1" applyBorder="1" applyAlignment="1">
      <alignment horizontal="right" wrapText="1" indent="3"/>
    </xf>
    <xf numFmtId="173" fontId="20" fillId="0" borderId="0" xfId="10" applyNumberFormat="1" applyFont="1" applyFill="1" applyBorder="1" applyAlignment="1">
      <alignment horizontal="right" wrapText="1" indent="5"/>
    </xf>
    <xf numFmtId="173" fontId="20" fillId="0" borderId="0" xfId="10" applyNumberFormat="1" applyFont="1" applyFill="1" applyBorder="1" applyAlignment="1">
      <alignment horizontal="right" wrapText="1" indent="4"/>
    </xf>
    <xf numFmtId="3" fontId="49" fillId="0" borderId="0" xfId="10" applyNumberFormat="1" applyFont="1" applyFill="1" applyAlignment="1">
      <alignment vertical="center"/>
    </xf>
    <xf numFmtId="173" fontId="50" fillId="0" borderId="0" xfId="10" applyNumberFormat="1" applyFont="1" applyFill="1" applyBorder="1" applyAlignment="1">
      <alignment horizontal="right" vertical="center" indent="5"/>
    </xf>
    <xf numFmtId="173" fontId="50" fillId="0" borderId="0" xfId="10" applyNumberFormat="1" applyFont="1" applyFill="1" applyBorder="1" applyAlignment="1">
      <alignment horizontal="right" vertical="center" indent="4"/>
    </xf>
    <xf numFmtId="173" fontId="50" fillId="0" borderId="0" xfId="10" applyNumberFormat="1" applyFont="1" applyFill="1" applyBorder="1" applyAlignment="1">
      <alignment horizontal="right" vertical="center" indent="7"/>
    </xf>
    <xf numFmtId="173" fontId="50" fillId="0" borderId="0" xfId="10" applyNumberFormat="1" applyFont="1" applyFill="1" applyBorder="1" applyAlignment="1">
      <alignment horizontal="right" wrapText="1" indent="3"/>
    </xf>
    <xf numFmtId="4" fontId="14" fillId="0" borderId="0" xfId="10" applyNumberFormat="1" applyFont="1" applyFill="1" applyBorder="1" applyAlignment="1">
      <alignment horizontal="right" indent="5"/>
    </xf>
    <xf numFmtId="4" fontId="14" fillId="0" borderId="0" xfId="10" applyNumberFormat="1" applyFont="1" applyFill="1" applyBorder="1" applyAlignment="1">
      <alignment horizontal="right" indent="4"/>
    </xf>
    <xf numFmtId="4" fontId="14" fillId="0" borderId="0" xfId="10" applyNumberFormat="1" applyFont="1" applyFill="1" applyBorder="1" applyAlignment="1">
      <alignment horizontal="right" indent="8"/>
    </xf>
    <xf numFmtId="4" fontId="49" fillId="0" borderId="0" xfId="10" applyNumberFormat="1" applyFont="1" applyFill="1" applyBorder="1" applyAlignment="1">
      <alignment horizontal="right" indent="4"/>
    </xf>
    <xf numFmtId="3" fontId="20" fillId="0" borderId="1" xfId="10" applyNumberFormat="1" applyFont="1" applyFill="1" applyBorder="1" applyAlignment="1">
      <alignment horizontal="right" indent="1"/>
    </xf>
    <xf numFmtId="3" fontId="50" fillId="0" borderId="0" xfId="10" applyNumberFormat="1" applyFont="1" applyFill="1" applyBorder="1" applyAlignment="1">
      <alignment horizontal="right" indent="1"/>
    </xf>
    <xf numFmtId="0" fontId="14" fillId="0" borderId="0" xfId="10" applyFont="1" applyFill="1" applyAlignment="1">
      <alignment wrapText="1"/>
    </xf>
    <xf numFmtId="0" fontId="49" fillId="0" borderId="0" xfId="10" applyNumberFormat="1" applyFont="1" applyFill="1" applyBorder="1" applyAlignment="1">
      <alignment wrapText="1"/>
    </xf>
    <xf numFmtId="172" fontId="14" fillId="0" borderId="0" xfId="10" applyNumberFormat="1" applyFont="1" applyFill="1" applyAlignment="1">
      <alignment wrapText="1"/>
    </xf>
    <xf numFmtId="1" fontId="14" fillId="0" borderId="0" xfId="10" applyNumberFormat="1" applyFont="1" applyFill="1" applyBorder="1" applyAlignment="1">
      <alignment horizontal="center"/>
    </xf>
    <xf numFmtId="1" fontId="49" fillId="0" borderId="0" xfId="10" applyNumberFormat="1" applyFont="1" applyFill="1" applyBorder="1" applyAlignment="1">
      <alignment horizontal="center"/>
    </xf>
    <xf numFmtId="2" fontId="14" fillId="0" borderId="0" xfId="10" applyNumberFormat="1" applyFont="1" applyFill="1" applyBorder="1" applyAlignment="1">
      <alignment horizontal="center"/>
    </xf>
    <xf numFmtId="2" fontId="49" fillId="0" borderId="0" xfId="10" applyNumberFormat="1" applyFont="1" applyFill="1" applyBorder="1" applyAlignment="1">
      <alignment horizontal="center"/>
    </xf>
    <xf numFmtId="0" fontId="14" fillId="0" borderId="0" xfId="10" quotePrefix="1" applyFont="1" applyFill="1"/>
    <xf numFmtId="0" fontId="14" fillId="0" borderId="0" xfId="7" applyFont="1" applyFill="1" applyAlignment="1">
      <alignment horizontal="justify" vertical="center"/>
    </xf>
    <xf numFmtId="0" fontId="20" fillId="0" borderId="0" xfId="10" applyFont="1" applyFill="1" applyAlignment="1">
      <alignment horizontal="left" vertical="center"/>
    </xf>
    <xf numFmtId="173" fontId="20" fillId="0" borderId="0" xfId="10" applyNumberFormat="1" applyFont="1" applyFill="1" applyBorder="1" applyAlignment="1">
      <alignment horizontal="right" wrapText="1" indent="2"/>
    </xf>
    <xf numFmtId="173" fontId="20" fillId="0" borderId="0" xfId="10" applyNumberFormat="1" applyFont="1" applyFill="1" applyBorder="1" applyAlignment="1">
      <alignment horizontal="right" wrapText="1" indent="6"/>
    </xf>
    <xf numFmtId="10" fontId="14" fillId="0" borderId="0" xfId="10" applyNumberFormat="1" applyFont="1" applyFill="1"/>
    <xf numFmtId="173" fontId="50" fillId="0" borderId="0" xfId="10" applyNumberFormat="1" applyFont="1" applyFill="1" applyBorder="1" applyAlignment="1">
      <alignment horizontal="right" wrapText="1" indent="2"/>
    </xf>
    <xf numFmtId="173" fontId="50" fillId="0" borderId="0" xfId="10" applyNumberFormat="1" applyFont="1" applyFill="1" applyBorder="1" applyAlignment="1">
      <alignment horizontal="right" wrapText="1" indent="6"/>
    </xf>
    <xf numFmtId="4" fontId="14" fillId="0" borderId="0" xfId="10" applyNumberFormat="1" applyFont="1" applyFill="1" applyBorder="1" applyAlignment="1">
      <alignment horizontal="right" indent="2"/>
    </xf>
    <xf numFmtId="4" fontId="20" fillId="0" borderId="0" xfId="10" applyNumberFormat="1" applyFont="1" applyFill="1" applyBorder="1" applyAlignment="1">
      <alignment horizontal="right" indent="4"/>
    </xf>
    <xf numFmtId="4" fontId="20" fillId="0" borderId="0" xfId="10" applyNumberFormat="1" applyFont="1" applyFill="1" applyBorder="1" applyAlignment="1">
      <alignment horizontal="right" indent="6"/>
    </xf>
    <xf numFmtId="4" fontId="20" fillId="0" borderId="0" xfId="10" applyNumberFormat="1" applyFont="1" applyFill="1" applyBorder="1" applyAlignment="1">
      <alignment horizontal="right" indent="3"/>
    </xf>
    <xf numFmtId="0" fontId="20" fillId="0" borderId="1" xfId="10" applyFont="1" applyFill="1" applyBorder="1"/>
    <xf numFmtId="3" fontId="20" fillId="0" borderId="1" xfId="10" applyNumberFormat="1" applyFont="1" applyFill="1" applyBorder="1" applyAlignment="1">
      <alignment horizontal="center"/>
    </xf>
    <xf numFmtId="172" fontId="14" fillId="0" borderId="0" xfId="10" applyNumberFormat="1" applyFont="1" applyFill="1" applyAlignment="1">
      <alignment horizontal="left" wrapText="1"/>
    </xf>
    <xf numFmtId="3" fontId="20" fillId="0" borderId="0" xfId="10" applyNumberFormat="1" applyFont="1" applyFill="1"/>
    <xf numFmtId="0" fontId="30" fillId="0" borderId="0" xfId="10" applyFont="1" applyFill="1"/>
    <xf numFmtId="0" fontId="14" fillId="0" borderId="0" xfId="7" applyFont="1" applyFill="1" applyAlignment="1">
      <alignment wrapText="1"/>
    </xf>
    <xf numFmtId="0" fontId="27" fillId="0" borderId="0" xfId="10" applyFont="1" applyFill="1" applyAlignment="1"/>
    <xf numFmtId="9" fontId="0" fillId="0" borderId="0" xfId="4" applyFont="1" applyFill="1"/>
    <xf numFmtId="0" fontId="14" fillId="0" borderId="0" xfId="10" applyFont="1" applyFill="1" applyAlignment="1"/>
    <xf numFmtId="0" fontId="16" fillId="0" borderId="0" xfId="0" applyFont="1" applyFill="1" applyBorder="1"/>
    <xf numFmtId="0" fontId="20" fillId="0" borderId="0" xfId="11" applyFont="1" applyFill="1" applyAlignment="1">
      <alignment horizontal="left"/>
    </xf>
    <xf numFmtId="0" fontId="21" fillId="0" borderId="0" xfId="11" applyFont="1" applyFill="1" applyAlignment="1">
      <alignment horizontal="center" vertical="center"/>
    </xf>
    <xf numFmtId="0" fontId="14" fillId="0" borderId="0" xfId="10" applyFont="1" applyFill="1" applyBorder="1" applyAlignment="1">
      <alignment horizontal="left" indent="1"/>
    </xf>
    <xf numFmtId="0" fontId="20" fillId="0" borderId="0" xfId="10" applyFont="1" applyFill="1" applyAlignment="1">
      <alignment horizontal="left" indent="1"/>
    </xf>
    <xf numFmtId="0" fontId="20" fillId="0" borderId="0" xfId="10" applyFont="1" applyFill="1" applyBorder="1" applyAlignment="1">
      <alignment horizontal="right" indent="4"/>
    </xf>
    <xf numFmtId="0" fontId="31" fillId="0" borderId="0" xfId="10" applyFont="1" applyFill="1" applyBorder="1" applyAlignment="1">
      <alignment vertical="center"/>
    </xf>
    <xf numFmtId="172" fontId="31" fillId="0" borderId="0" xfId="10" applyNumberFormat="1" applyFont="1" applyFill="1" applyBorder="1" applyAlignment="1">
      <alignment horizontal="right" vertical="center" wrapText="1" indent="4"/>
    </xf>
    <xf numFmtId="0" fontId="31" fillId="0" borderId="0" xfId="10" applyFont="1" applyFill="1" applyBorder="1" applyAlignment="1">
      <alignment horizontal="right" vertical="center" indent="4"/>
    </xf>
    <xf numFmtId="172" fontId="14" fillId="0" borderId="0" xfId="10" applyNumberFormat="1" applyFont="1" applyFill="1" applyAlignment="1"/>
    <xf numFmtId="2" fontId="14" fillId="0" borderId="0" xfId="10" applyNumberFormat="1" applyFont="1" applyFill="1"/>
    <xf numFmtId="172" fontId="14" fillId="0" borderId="0" xfId="2" applyNumberFormat="1" applyFont="1" applyFill="1" applyAlignment="1">
      <alignment horizontal="right" vertical="center"/>
    </xf>
    <xf numFmtId="10" fontId="14" fillId="0" borderId="0" xfId="2" applyNumberFormat="1" applyFont="1" applyFill="1" applyAlignment="1">
      <alignment horizontal="left" vertical="center"/>
    </xf>
    <xf numFmtId="172" fontId="14" fillId="0" borderId="1" xfId="2" applyNumberFormat="1" applyFont="1" applyFill="1" applyBorder="1">
      <alignment vertical="center"/>
    </xf>
    <xf numFmtId="10" fontId="14" fillId="0" borderId="1" xfId="4" applyNumberFormat="1" applyFont="1" applyFill="1" applyBorder="1" applyAlignment="1">
      <alignment vertical="center"/>
    </xf>
    <xf numFmtId="172" fontId="20" fillId="0" borderId="0" xfId="2" applyNumberFormat="1" applyFont="1" applyFill="1" applyAlignment="1">
      <alignment horizontal="right" vertical="top" wrapText="1"/>
    </xf>
    <xf numFmtId="0" fontId="20" fillId="0" borderId="0" xfId="2" applyFont="1" applyFill="1" applyAlignment="1">
      <alignment horizontal="right" vertical="top" wrapText="1"/>
    </xf>
    <xf numFmtId="172" fontId="20" fillId="0" borderId="0" xfId="2" applyNumberFormat="1" applyFont="1" applyFill="1" applyAlignment="1">
      <alignment horizontal="right" vertical="center"/>
    </xf>
    <xf numFmtId="172" fontId="21" fillId="0" borderId="2" xfId="2" applyNumberFormat="1" applyFont="1" applyFill="1" applyBorder="1" applyAlignment="1">
      <alignment horizontal="right" vertical="center"/>
    </xf>
    <xf numFmtId="10" fontId="49" fillId="0" borderId="0" xfId="4" applyNumberFormat="1" applyFont="1" applyFill="1" applyBorder="1" applyAlignment="1">
      <alignment vertical="center"/>
    </xf>
    <xf numFmtId="3" fontId="49" fillId="0" borderId="0" xfId="2" applyNumberFormat="1" applyFont="1" applyFill="1" applyBorder="1" applyAlignment="1">
      <alignment vertical="center"/>
    </xf>
    <xf numFmtId="171" fontId="14" fillId="0" borderId="2" xfId="2" applyNumberFormat="1" applyFont="1" applyFill="1" applyBorder="1">
      <alignment vertical="center"/>
    </xf>
    <xf numFmtId="171" fontId="14" fillId="0" borderId="2" xfId="4" applyNumberFormat="1" applyFont="1" applyFill="1" applyBorder="1" applyAlignment="1">
      <alignment vertical="center"/>
    </xf>
    <xf numFmtId="10" fontId="20" fillId="0" borderId="0" xfId="2" applyNumberFormat="1" applyFont="1" applyFill="1">
      <alignment vertical="center"/>
    </xf>
    <xf numFmtId="0" fontId="0" fillId="0" borderId="1" xfId="0" applyFill="1" applyBorder="1"/>
    <xf numFmtId="0" fontId="12" fillId="0" borderId="0" xfId="0" applyFont="1" applyFill="1" applyAlignment="1">
      <alignment horizontal="left"/>
    </xf>
    <xf numFmtId="0" fontId="36" fillId="0" borderId="0" xfId="0" applyFont="1" applyFill="1" applyAlignment="1">
      <alignment horizontal="right" vertical="top"/>
    </xf>
    <xf numFmtId="0" fontId="33" fillId="0" borderId="0" xfId="0" applyFont="1" applyFill="1" applyBorder="1" applyAlignment="1">
      <alignment horizontal="right" vertical="top"/>
    </xf>
    <xf numFmtId="0" fontId="0" fillId="0" borderId="2" xfId="0" applyFill="1" applyBorder="1" applyAlignment="1">
      <alignment horizontal="center" vertical="top"/>
    </xf>
    <xf numFmtId="0" fontId="11" fillId="0" borderId="2" xfId="2" applyFill="1" applyBorder="1" applyAlignment="1">
      <alignment horizontal="right" vertical="center"/>
    </xf>
    <xf numFmtId="171" fontId="49" fillId="0" borderId="0" xfId="0" applyNumberFormat="1" applyFont="1" applyFill="1" applyAlignment="1">
      <alignment horizontal="right" vertical="center"/>
    </xf>
    <xf numFmtId="0" fontId="33" fillId="0" borderId="0" xfId="0" applyFont="1" applyFill="1" applyAlignment="1">
      <alignment horizontal="left"/>
    </xf>
    <xf numFmtId="0" fontId="42" fillId="0" borderId="0" xfId="0" applyFont="1" applyFill="1" applyAlignment="1">
      <alignment horizontal="right"/>
    </xf>
    <xf numFmtId="171" fontId="14" fillId="0" borderId="0" xfId="13" applyNumberFormat="1" applyFont="1" applyFill="1" applyAlignment="1">
      <alignment horizontal="right" wrapText="1" indent="3"/>
    </xf>
    <xf numFmtId="171" fontId="14" fillId="0" borderId="0" xfId="13" applyNumberFormat="1" applyFont="1" applyFill="1" applyAlignment="1">
      <alignment horizontal="right" wrapText="1" indent="2"/>
    </xf>
    <xf numFmtId="171" fontId="14" fillId="0" borderId="0" xfId="13" applyNumberFormat="1" applyFont="1" applyFill="1" applyAlignment="1">
      <alignment horizontal="right" wrapText="1"/>
    </xf>
    <xf numFmtId="10" fontId="50" fillId="0" borderId="0" xfId="4" applyNumberFormat="1" applyFont="1" applyFill="1" applyBorder="1" applyAlignment="1">
      <alignment horizontal="right" indent="4"/>
    </xf>
    <xf numFmtId="0" fontId="14" fillId="0" borderId="0" xfId="12" applyFont="1" applyFill="1" applyAlignment="1">
      <alignment horizontal="left" indent="1"/>
    </xf>
    <xf numFmtId="0" fontId="20" fillId="0" borderId="0" xfId="10" applyFont="1" applyFill="1" applyBorder="1" applyAlignment="1">
      <alignment horizontal="left"/>
    </xf>
    <xf numFmtId="0" fontId="20" fillId="0" borderId="2" xfId="2" applyFont="1" applyFill="1" applyBorder="1" applyAlignment="1">
      <alignment horizontal="centerContinuous" vertical="center" wrapText="1"/>
    </xf>
    <xf numFmtId="182" fontId="49" fillId="0" borderId="0" xfId="0" applyNumberFormat="1" applyFont="1" applyFill="1" applyAlignment="1">
      <alignment vertical="center"/>
    </xf>
    <xf numFmtId="171" fontId="49" fillId="0" borderId="0" xfId="0" applyNumberFormat="1" applyFont="1" applyFill="1" applyBorder="1" applyAlignment="1">
      <alignment horizontal="right" vertical="center"/>
    </xf>
    <xf numFmtId="0" fontId="11" fillId="0" borderId="0" xfId="0" applyFont="1" applyBorder="1" applyAlignment="1">
      <alignment horizontal="right" vertical="center"/>
    </xf>
    <xf numFmtId="0" fontId="14" fillId="0" borderId="0" xfId="2" applyFont="1" applyFill="1" applyAlignment="1">
      <alignment horizontal="right" vertical="center" wrapText="1"/>
    </xf>
    <xf numFmtId="0" fontId="11" fillId="0" borderId="0" xfId="26" applyAlignment="1">
      <alignment horizontal="left" vertical="top"/>
    </xf>
    <xf numFmtId="0" fontId="11" fillId="0" borderId="0" xfId="26" applyAlignment="1">
      <alignment vertical="top"/>
    </xf>
    <xf numFmtId="0" fontId="12" fillId="0" borderId="0" xfId="0" applyFont="1" applyAlignment="1">
      <alignment vertical="center"/>
    </xf>
    <xf numFmtId="0" fontId="11" fillId="0" borderId="0" xfId="2" applyFill="1" applyAlignment="1">
      <alignment horizontal="left" vertical="center" wrapText="1" indent="1"/>
    </xf>
    <xf numFmtId="0" fontId="12" fillId="0" borderId="0" xfId="2" applyFont="1" applyFill="1" applyAlignment="1">
      <alignment vertical="center" wrapText="1"/>
    </xf>
    <xf numFmtId="0" fontId="11" fillId="0" borderId="0" xfId="2" applyAlignment="1">
      <alignment horizontal="left" vertical="center" wrapText="1" indent="1"/>
    </xf>
    <xf numFmtId="0" fontId="52" fillId="0" borderId="11" xfId="2" applyFont="1" applyBorder="1" applyAlignment="1">
      <alignment horizontal="left" vertical="center" wrapText="1" indent="1"/>
    </xf>
    <xf numFmtId="0" fontId="52" fillId="0" borderId="12" xfId="2" applyFont="1" applyBorder="1" applyAlignment="1">
      <alignment horizontal="left" vertical="center" wrapText="1" indent="1"/>
    </xf>
    <xf numFmtId="0" fontId="52" fillId="0" borderId="11" xfId="2" applyFont="1" applyFill="1" applyBorder="1" applyAlignment="1">
      <alignment horizontal="left" vertical="center" wrapText="1" indent="1"/>
    </xf>
    <xf numFmtId="0" fontId="52" fillId="0" borderId="2" xfId="2" applyFont="1" applyBorder="1">
      <alignment vertical="center"/>
    </xf>
    <xf numFmtId="0" fontId="0" fillId="9" borderId="0" xfId="0" applyFill="1" applyAlignment="1">
      <alignment vertical="center"/>
    </xf>
    <xf numFmtId="0" fontId="0" fillId="9" borderId="0" xfId="0" applyFill="1" applyAlignment="1">
      <alignment horizontal="right" vertical="center"/>
    </xf>
    <xf numFmtId="0" fontId="87" fillId="9" borderId="0" xfId="0" applyFont="1" applyFill="1" applyAlignment="1">
      <alignment vertical="center"/>
    </xf>
    <xf numFmtId="0" fontId="29" fillId="9" borderId="0" xfId="0" applyFont="1" applyFill="1" applyAlignment="1">
      <alignment vertical="center"/>
    </xf>
    <xf numFmtId="0" fontId="29" fillId="9" borderId="0" xfId="0" applyFont="1" applyFill="1" applyAlignment="1">
      <alignment horizontal="center" vertical="center"/>
    </xf>
    <xf numFmtId="10" fontId="29" fillId="9" borderId="0" xfId="0" applyNumberFormat="1" applyFont="1" applyFill="1" applyAlignment="1">
      <alignment horizontal="right" vertical="center"/>
    </xf>
    <xf numFmtId="0" fontId="87"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10" fontId="29" fillId="0" borderId="0" xfId="0" applyNumberFormat="1" applyFont="1" applyFill="1" applyAlignment="1">
      <alignment horizontal="right" vertical="center"/>
    </xf>
    <xf numFmtId="0" fontId="11" fillId="0" borderId="0" xfId="2" applyAlignment="1">
      <alignment vertical="top"/>
    </xf>
    <xf numFmtId="0" fontId="12" fillId="0" borderId="2" xfId="2" applyFont="1" applyBorder="1" applyAlignment="1">
      <alignment horizontal="left" vertical="top"/>
    </xf>
    <xf numFmtId="0" fontId="11" fillId="0" borderId="2" xfId="2" applyBorder="1" applyAlignment="1">
      <alignment vertical="top"/>
    </xf>
    <xf numFmtId="0" fontId="11" fillId="11" borderId="0" xfId="2" applyFill="1" applyAlignment="1">
      <alignment vertical="top"/>
    </xf>
    <xf numFmtId="3" fontId="11" fillId="11" borderId="0" xfId="2" applyNumberFormat="1" applyFill="1" applyAlignment="1">
      <alignment horizontal="right" vertical="top"/>
    </xf>
    <xf numFmtId="0" fontId="11" fillId="0" borderId="0" xfId="2" applyAlignment="1"/>
    <xf numFmtId="0" fontId="11" fillId="0" borderId="0" xfId="2" applyFont="1" applyAlignment="1"/>
    <xf numFmtId="0" fontId="11" fillId="0" borderId="0" xfId="2" applyAlignment="1">
      <alignment horizontal="center"/>
    </xf>
    <xf numFmtId="10" fontId="57" fillId="0" borderId="0" xfId="2" applyNumberFormat="1" applyFont="1" applyFill="1" applyBorder="1" applyAlignment="1">
      <alignment horizontal="left"/>
    </xf>
    <xf numFmtId="0" fontId="11" fillId="11" borderId="0" xfId="2" applyFill="1" applyAlignment="1"/>
    <xf numFmtId="0" fontId="88" fillId="3" borderId="0" xfId="0" applyFont="1" applyFill="1"/>
    <xf numFmtId="0" fontId="43" fillId="0" borderId="0" xfId="20" applyFont="1"/>
    <xf numFmtId="0" fontId="89" fillId="0" borderId="0" xfId="0" applyFont="1" applyAlignment="1">
      <alignment vertical="center" wrapText="1"/>
    </xf>
    <xf numFmtId="9" fontId="33" fillId="0" borderId="0" xfId="4" applyFont="1" applyFill="1"/>
    <xf numFmtId="9" fontId="14" fillId="0" borderId="0" xfId="4" applyFont="1" applyFill="1" applyAlignment="1">
      <alignment horizontal="left"/>
    </xf>
    <xf numFmtId="9" fontId="14" fillId="0" borderId="0" xfId="4" applyFont="1" applyFill="1" applyAlignment="1">
      <alignment horizontal="right"/>
    </xf>
    <xf numFmtId="9" fontId="14" fillId="7" borderId="0" xfId="4" applyFont="1" applyFill="1"/>
    <xf numFmtId="9" fontId="14" fillId="2" borderId="0" xfId="4" applyFont="1" applyFill="1"/>
    <xf numFmtId="9" fontId="14" fillId="2" borderId="0" xfId="4" applyFont="1" applyFill="1" applyAlignment="1">
      <alignment horizontal="left"/>
    </xf>
    <xf numFmtId="0" fontId="27" fillId="0" borderId="0" xfId="0" applyFont="1" applyAlignment="1">
      <alignment vertical="center"/>
    </xf>
    <xf numFmtId="0" fontId="42" fillId="0" borderId="0" xfId="0" applyNumberFormat="1" applyFont="1" applyFill="1" applyBorder="1" applyAlignment="1"/>
    <xf numFmtId="172" fontId="49" fillId="0" borderId="0" xfId="0" applyNumberFormat="1" applyFont="1" applyFill="1" applyBorder="1" applyAlignment="1">
      <alignment horizontal="left"/>
    </xf>
    <xf numFmtId="0" fontId="49" fillId="0" borderId="0" xfId="0" applyNumberFormat="1" applyFont="1" applyFill="1" applyBorder="1" applyAlignment="1">
      <alignment horizontal="left" indent="2"/>
    </xf>
    <xf numFmtId="0" fontId="49" fillId="10" borderId="0" xfId="10" applyNumberFormat="1" applyFont="1" applyFill="1" applyBorder="1" applyAlignment="1"/>
    <xf numFmtId="0" fontId="49" fillId="10" borderId="0" xfId="7" applyNumberFormat="1" applyFont="1" applyFill="1" applyBorder="1" applyAlignment="1"/>
    <xf numFmtId="0" fontId="49" fillId="10" borderId="0" xfId="7" applyNumberFormat="1" applyFont="1" applyFill="1" applyBorder="1" applyAlignment="1">
      <alignment horizontal="left"/>
    </xf>
    <xf numFmtId="3" fontId="49" fillId="10" borderId="0" xfId="10" applyNumberFormat="1" applyFont="1" applyFill="1" applyBorder="1" applyAlignment="1">
      <alignment horizontal="left" vertical="center"/>
    </xf>
    <xf numFmtId="0" fontId="53" fillId="0" borderId="0" xfId="0" applyNumberFormat="1"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center"/>
    </xf>
    <xf numFmtId="0" fontId="49" fillId="0" borderId="0" xfId="0" applyNumberFormat="1" applyFont="1" applyFill="1" applyBorder="1" applyAlignment="1">
      <alignment vertical="center"/>
    </xf>
    <xf numFmtId="0" fontId="28" fillId="5" borderId="0" xfId="12" applyFont="1" applyFill="1" applyAlignment="1">
      <alignment vertical="center"/>
    </xf>
    <xf numFmtId="0" fontId="27" fillId="0" borderId="0" xfId="7" applyFont="1" applyFill="1" applyAlignment="1">
      <alignment horizontal="left" vertical="center"/>
    </xf>
    <xf numFmtId="0" fontId="27" fillId="0" borderId="0" xfId="10" applyFont="1" applyFill="1" applyAlignment="1">
      <alignment horizontal="left" vertical="center"/>
    </xf>
    <xf numFmtId="0" fontId="28" fillId="9" borderId="0" xfId="12" applyFont="1" applyFill="1" applyAlignment="1">
      <alignment vertical="center"/>
    </xf>
    <xf numFmtId="0" fontId="28" fillId="5" borderId="0" xfId="12" applyFont="1" applyFill="1" applyBorder="1" applyAlignment="1">
      <alignment vertical="center"/>
    </xf>
    <xf numFmtId="0" fontId="11" fillId="2" borderId="1" xfId="2" applyFill="1" applyBorder="1" applyAlignment="1">
      <alignment horizontal="center" vertical="center"/>
    </xf>
    <xf numFmtId="0" fontId="52" fillId="0" borderId="0" xfId="0" applyFont="1" applyFill="1" applyBorder="1"/>
    <xf numFmtId="0" fontId="52" fillId="0" borderId="1" xfId="0" applyFont="1" applyFill="1" applyBorder="1"/>
    <xf numFmtId="0" fontId="20" fillId="0" borderId="2" xfId="2" applyFont="1" applyFill="1" applyBorder="1" applyAlignment="1">
      <alignment horizontal="centerContinuous" vertical="center"/>
    </xf>
    <xf numFmtId="0" fontId="14" fillId="0" borderId="0" xfId="2" applyFont="1" applyAlignment="1">
      <alignment vertical="center"/>
    </xf>
    <xf numFmtId="9" fontId="20" fillId="0" borderId="0" xfId="4" applyFont="1" applyFill="1" applyBorder="1" applyAlignment="1">
      <alignment horizontal="right" vertical="center" wrapText="1"/>
    </xf>
    <xf numFmtId="0" fontId="20" fillId="0" borderId="2" xfId="2" applyFont="1" applyBorder="1" applyAlignment="1">
      <alignment horizontal="centerContinuous" vertical="center"/>
    </xf>
    <xf numFmtId="0" fontId="12" fillId="0" borderId="0" xfId="0" applyFont="1" applyFill="1" applyAlignment="1"/>
    <xf numFmtId="0" fontId="51" fillId="0" borderId="0" xfId="0" applyFont="1" applyFill="1"/>
    <xf numFmtId="0" fontId="93" fillId="0" borderId="0" xfId="0" applyFont="1" applyFill="1" applyBorder="1" applyAlignment="1">
      <alignment horizontal="centerContinuous"/>
    </xf>
    <xf numFmtId="0" fontId="52" fillId="0" borderId="11" xfId="0" applyFont="1" applyBorder="1" applyAlignment="1">
      <alignment horizontal="left" indent="1"/>
    </xf>
    <xf numFmtId="0" fontId="75" fillId="0" borderId="11" xfId="0" applyNumberFormat="1" applyFont="1" applyFill="1" applyBorder="1" applyAlignment="1"/>
    <xf numFmtId="171" fontId="75" fillId="0" borderId="11" xfId="4" applyNumberFormat="1" applyFont="1" applyFill="1" applyBorder="1" applyAlignment="1">
      <alignment vertical="center"/>
    </xf>
    <xf numFmtId="0" fontId="31" fillId="0" borderId="12" xfId="2" applyFont="1" applyFill="1" applyBorder="1" applyAlignment="1">
      <alignment horizontal="centerContinuous"/>
    </xf>
    <xf numFmtId="0" fontId="93" fillId="0" borderId="12" xfId="0" applyFont="1" applyFill="1" applyBorder="1" applyAlignment="1">
      <alignment horizontal="centerContinuous"/>
    </xf>
    <xf numFmtId="170" fontId="11" fillId="2" borderId="0" xfId="4" applyNumberFormat="1" applyFont="1" applyFill="1" applyBorder="1" applyAlignment="1">
      <alignment horizontal="right"/>
    </xf>
    <xf numFmtId="9" fontId="14" fillId="0" borderId="0" xfId="2" applyNumberFormat="1" applyFont="1" applyFill="1" applyAlignment="1">
      <alignment horizontal="right" vertical="center"/>
    </xf>
    <xf numFmtId="0" fontId="14" fillId="0" borderId="0" xfId="2" applyFont="1" applyFill="1" applyBorder="1" applyAlignment="1">
      <alignment horizontal="left" vertical="center"/>
    </xf>
    <xf numFmtId="0" fontId="12" fillId="0" borderId="2" xfId="2" applyFont="1" applyFill="1" applyBorder="1" applyAlignment="1">
      <alignment horizontal="center"/>
    </xf>
    <xf numFmtId="170" fontId="52" fillId="0" borderId="0" xfId="4" applyNumberFormat="1" applyFont="1" applyBorder="1" applyAlignment="1">
      <alignment horizontal="right"/>
    </xf>
    <xf numFmtId="170" fontId="75" fillId="0" borderId="11" xfId="4" applyNumberFormat="1" applyFont="1" applyFill="1" applyBorder="1" applyAlignment="1">
      <alignment horizontal="right"/>
    </xf>
    <xf numFmtId="0" fontId="75" fillId="0" borderId="11" xfId="2" applyNumberFormat="1" applyFont="1" applyFill="1" applyBorder="1" applyAlignment="1">
      <alignment horizontal="right" vertical="center"/>
    </xf>
    <xf numFmtId="0" fontId="52" fillId="0" borderId="11" xfId="0" applyFont="1" applyFill="1" applyBorder="1" applyAlignment="1">
      <alignment horizontal="right"/>
    </xf>
    <xf numFmtId="170" fontId="52" fillId="0" borderId="11" xfId="4" applyNumberFormat="1" applyFont="1" applyFill="1" applyBorder="1" applyAlignment="1">
      <alignment horizontal="right"/>
    </xf>
    <xf numFmtId="170" fontId="52" fillId="0" borderId="11" xfId="4" applyNumberFormat="1" applyFont="1" applyBorder="1" applyAlignment="1">
      <alignment horizontal="right"/>
    </xf>
    <xf numFmtId="0" fontId="93" fillId="0" borderId="12" xfId="0" applyFont="1" applyFill="1" applyBorder="1"/>
    <xf numFmtId="0" fontId="11" fillId="0" borderId="0" xfId="0" applyFont="1" applyBorder="1" applyAlignment="1">
      <alignment horizontal="left" vertical="center"/>
    </xf>
    <xf numFmtId="0" fontId="0" fillId="0" borderId="0" xfId="0" applyFont="1" applyFill="1" applyBorder="1" applyAlignment="1">
      <alignment horizontal="right" vertical="center"/>
    </xf>
    <xf numFmtId="0" fontId="11" fillId="0" borderId="0" xfId="0" applyFont="1" applyBorder="1" applyAlignment="1">
      <alignment vertical="center"/>
    </xf>
    <xf numFmtId="0" fontId="12" fillId="0" borderId="0" xfId="2" applyFont="1" applyFill="1" applyBorder="1" applyAlignment="1">
      <alignment horizontal="left"/>
    </xf>
    <xf numFmtId="0" fontId="14" fillId="0" borderId="0" xfId="2" applyFont="1" applyFill="1" applyBorder="1" applyAlignment="1">
      <alignment horizontal="right" vertical="center" wrapText="1"/>
    </xf>
    <xf numFmtId="0" fontId="48" fillId="0" borderId="0" xfId="2" applyFont="1" applyFill="1" applyBorder="1" applyAlignment="1">
      <alignment horizontal="right" vertical="center" wrapText="1"/>
    </xf>
    <xf numFmtId="0" fontId="52" fillId="0" borderId="0" xfId="0" applyFont="1" applyFill="1" applyBorder="1" applyAlignment="1">
      <alignment horizontal="right" vertical="center"/>
    </xf>
    <xf numFmtId="0" fontId="52" fillId="0" borderId="0" xfId="0" applyFont="1" applyBorder="1" applyAlignment="1">
      <alignment vertical="center"/>
    </xf>
    <xf numFmtId="0" fontId="48" fillId="0" borderId="11" xfId="2" applyFont="1" applyFill="1" applyBorder="1" applyAlignment="1">
      <alignment horizontal="right" vertical="center" wrapText="1"/>
    </xf>
    <xf numFmtId="0" fontId="52" fillId="0" borderId="11" xfId="0" applyFont="1" applyBorder="1" applyAlignment="1">
      <alignment horizontal="right" vertical="center"/>
    </xf>
    <xf numFmtId="0" fontId="52" fillId="0" borderId="11" xfId="0" applyFont="1" applyFill="1" applyBorder="1" applyAlignment="1">
      <alignment horizontal="right" vertical="center"/>
    </xf>
    <xf numFmtId="0" fontId="48" fillId="0" borderId="12" xfId="2" applyFont="1" applyFill="1" applyBorder="1" applyAlignment="1">
      <alignment horizontal="right" vertical="center" wrapText="1"/>
    </xf>
    <xf numFmtId="0" fontId="52" fillId="0" borderId="12" xfId="0" applyFont="1" applyBorder="1" applyAlignment="1">
      <alignment horizontal="right" vertical="center"/>
    </xf>
    <xf numFmtId="0" fontId="52" fillId="0" borderId="12" xfId="0" applyFont="1" applyFill="1" applyBorder="1" applyAlignment="1">
      <alignment horizontal="right" vertical="center"/>
    </xf>
    <xf numFmtId="0" fontId="12" fillId="0" borderId="0" xfId="2" applyFont="1" applyFill="1" applyBorder="1" applyAlignment="1">
      <alignment horizontal="centerContinuous"/>
    </xf>
    <xf numFmtId="0" fontId="12" fillId="0" borderId="2" xfId="2" applyFont="1" applyFill="1" applyBorder="1" applyAlignment="1">
      <alignment horizontal="centerContinuous"/>
    </xf>
    <xf numFmtId="0" fontId="50" fillId="0" borderId="0" xfId="2" applyNumberFormat="1" applyFont="1" applyFill="1" applyBorder="1" applyAlignment="1"/>
    <xf numFmtId="0" fontId="14" fillId="0" borderId="0" xfId="2" applyFont="1" applyFill="1" applyAlignment="1"/>
    <xf numFmtId="0" fontId="11" fillId="0" borderId="0" xfId="0" applyFont="1" applyBorder="1" applyAlignment="1"/>
    <xf numFmtId="0" fontId="11" fillId="0" borderId="0" xfId="0" applyFont="1" applyFill="1" applyBorder="1" applyAlignment="1"/>
    <xf numFmtId="0" fontId="14" fillId="2" borderId="0" xfId="2" applyFont="1" applyFill="1" applyAlignment="1"/>
    <xf numFmtId="0" fontId="48" fillId="0" borderId="0" xfId="2" applyFont="1" applyFill="1" applyBorder="1" applyAlignment="1">
      <alignment horizontal="right" vertical="center"/>
    </xf>
    <xf numFmtId="0" fontId="48" fillId="0" borderId="11" xfId="2" applyFont="1" applyFill="1" applyBorder="1" applyAlignment="1">
      <alignment horizontal="right" vertical="center"/>
    </xf>
    <xf numFmtId="0" fontId="48" fillId="0" borderId="11" xfId="2" applyFont="1" applyFill="1" applyBorder="1" applyAlignment="1">
      <alignment horizontal="left" vertical="center"/>
    </xf>
    <xf numFmtId="0" fontId="11" fillId="0" borderId="1" xfId="0" applyFont="1" applyFill="1" applyBorder="1"/>
    <xf numFmtId="171" fontId="11" fillId="0" borderId="1" xfId="0" applyNumberFormat="1" applyFont="1" applyFill="1" applyBorder="1"/>
    <xf numFmtId="171" fontId="49" fillId="0" borderId="1" xfId="0" applyNumberFormat="1" applyFont="1" applyFill="1" applyBorder="1" applyAlignment="1"/>
    <xf numFmtId="9" fontId="11" fillId="0" borderId="1" xfId="4" applyFont="1" applyFill="1" applyBorder="1"/>
    <xf numFmtId="0" fontId="11" fillId="2" borderId="0" xfId="0" applyFont="1" applyFill="1" applyBorder="1" applyAlignment="1">
      <alignment horizontal="right"/>
    </xf>
    <xf numFmtId="0" fontId="0" fillId="2" borderId="0" xfId="0" applyFont="1" applyFill="1" applyBorder="1" applyAlignment="1">
      <alignment horizontal="right"/>
    </xf>
    <xf numFmtId="0" fontId="93" fillId="0" borderId="12" xfId="0" applyFont="1" applyFill="1" applyBorder="1" applyAlignment="1">
      <alignment horizontal="center"/>
    </xf>
    <xf numFmtId="0" fontId="11" fillId="0" borderId="0" xfId="2" applyFill="1" applyBorder="1" applyAlignment="1">
      <alignment horizontal="center" vertical="center"/>
    </xf>
    <xf numFmtId="0" fontId="50" fillId="0" borderId="13" xfId="2" applyNumberFormat="1" applyFont="1" applyFill="1" applyBorder="1" applyAlignment="1">
      <alignment horizontal="center" vertical="center"/>
    </xf>
    <xf numFmtId="0" fontId="50" fillId="0" borderId="0" xfId="2" applyNumberFormat="1" applyFont="1" applyFill="1" applyBorder="1" applyAlignment="1">
      <alignment horizontal="center" vertical="center"/>
    </xf>
    <xf numFmtId="0" fontId="50" fillId="0" borderId="11" xfId="2" applyNumberFormat="1" applyFont="1" applyFill="1" applyBorder="1" applyAlignment="1">
      <alignment horizontal="center" vertical="center"/>
    </xf>
    <xf numFmtId="0" fontId="50" fillId="0" borderId="12" xfId="2" applyNumberFormat="1" applyFont="1" applyFill="1" applyBorder="1" applyAlignment="1">
      <alignment horizontal="center" vertical="center"/>
    </xf>
    <xf numFmtId="0" fontId="12" fillId="0" borderId="0" xfId="2" applyFont="1" applyFill="1" applyAlignment="1">
      <alignment horizontal="center" vertical="center"/>
    </xf>
    <xf numFmtId="0" fontId="11" fillId="0" borderId="0" xfId="0" applyFont="1" applyBorder="1" applyAlignment="1">
      <alignment horizontal="center"/>
    </xf>
    <xf numFmtId="0" fontId="75" fillId="0" borderId="11" xfId="0" applyNumberFormat="1" applyFont="1" applyFill="1" applyBorder="1" applyAlignment="1">
      <alignment horizontal="center"/>
    </xf>
    <xf numFmtId="0" fontId="11" fillId="2" borderId="0" xfId="0" applyFont="1" applyFill="1" applyBorder="1" applyAlignment="1">
      <alignment horizontal="center"/>
    </xf>
    <xf numFmtId="0" fontId="49" fillId="0" borderId="0" xfId="2" applyNumberFormat="1" applyFont="1" applyFill="1" applyBorder="1" applyAlignment="1">
      <alignment horizontal="center"/>
    </xf>
    <xf numFmtId="0" fontId="49" fillId="0" borderId="0" xfId="2" applyNumberFormat="1" applyFont="1" applyFill="1" applyBorder="1" applyAlignment="1">
      <alignment horizontal="center" vertical="center"/>
    </xf>
    <xf numFmtId="0" fontId="49" fillId="0" borderId="11" xfId="2" applyNumberFormat="1" applyFont="1" applyFill="1" applyBorder="1" applyAlignment="1">
      <alignment horizontal="center" vertical="center"/>
    </xf>
    <xf numFmtId="0" fontId="49" fillId="0" borderId="12" xfId="2" applyNumberFormat="1" applyFont="1" applyFill="1" applyBorder="1" applyAlignment="1">
      <alignment horizontal="center" vertical="center"/>
    </xf>
    <xf numFmtId="0" fontId="14" fillId="0" borderId="1" xfId="2" applyFont="1" applyFill="1" applyBorder="1" applyAlignment="1">
      <alignment horizontal="center" vertical="center"/>
    </xf>
    <xf numFmtId="0" fontId="11" fillId="0" borderId="0" xfId="0" applyFont="1" applyFill="1" applyAlignment="1">
      <alignment horizontal="center"/>
    </xf>
    <xf numFmtId="0" fontId="11" fillId="0" borderId="0" xfId="0" applyFont="1" applyAlignment="1">
      <alignment horizontal="center"/>
    </xf>
    <xf numFmtId="0" fontId="33" fillId="4" borderId="0" xfId="23" applyFill="1" applyAlignment="1">
      <alignment horizontal="left" indent="1"/>
    </xf>
    <xf numFmtId="0" fontId="91" fillId="9" borderId="0" xfId="23" applyFont="1" applyFill="1"/>
    <xf numFmtId="177" fontId="92" fillId="9" borderId="0" xfId="23" applyNumberFormat="1" applyFont="1" applyFill="1" applyAlignment="1">
      <alignment horizontal="center" vertical="center"/>
    </xf>
    <xf numFmtId="0" fontId="91" fillId="9" borderId="0" xfId="23" applyFont="1" applyFill="1" applyAlignment="1">
      <alignment horizontal="left"/>
    </xf>
    <xf numFmtId="170" fontId="92" fillId="9" borderId="0" xfId="9" applyNumberFormat="1" applyFont="1" applyFill="1" applyAlignment="1">
      <alignment horizontal="right" indent="3"/>
    </xf>
    <xf numFmtId="0" fontId="94" fillId="9" borderId="0" xfId="23" applyFont="1" applyFill="1" applyAlignment="1">
      <alignment horizontal="right" indent="3"/>
    </xf>
    <xf numFmtId="0" fontId="5" fillId="0" borderId="0" xfId="23" applyFont="1" applyFill="1"/>
    <xf numFmtId="170" fontId="14" fillId="0" borderId="0" xfId="4" applyNumberFormat="1" applyFont="1" applyFill="1" applyAlignment="1">
      <alignment horizontal="right" indent="3"/>
    </xf>
    <xf numFmtId="0" fontId="29" fillId="9" borderId="0" xfId="0" applyFont="1" applyFill="1" applyAlignment="1">
      <alignment horizontal="right" indent="3"/>
    </xf>
    <xf numFmtId="0" fontId="92" fillId="9" borderId="0" xfId="23" quotePrefix="1" applyFont="1" applyFill="1" applyAlignment="1">
      <alignment horizontal="left"/>
    </xf>
    <xf numFmtId="0" fontId="5" fillId="4" borderId="0" xfId="23" applyFont="1" applyFill="1" applyAlignment="1">
      <alignment horizontal="left"/>
    </xf>
    <xf numFmtId="177" fontId="5" fillId="4" borderId="0" xfId="23" applyNumberFormat="1" applyFont="1" applyFill="1" applyAlignment="1">
      <alignment horizontal="center" vertical="center"/>
    </xf>
    <xf numFmtId="0" fontId="0" fillId="0" borderId="0" xfId="0" applyFill="1" applyBorder="1"/>
    <xf numFmtId="177" fontId="8" fillId="0" borderId="0" xfId="23" applyNumberFormat="1" applyFont="1" applyFill="1" applyBorder="1" applyAlignment="1">
      <alignment horizontal="center" vertical="center"/>
    </xf>
    <xf numFmtId="177" fontId="45" fillId="0" borderId="11" xfId="23" applyNumberFormat="1" applyFont="1" applyFill="1" applyBorder="1" applyAlignment="1">
      <alignment horizontal="center" vertical="center"/>
    </xf>
    <xf numFmtId="177" fontId="45" fillId="0" borderId="12" xfId="23" applyNumberFormat="1" applyFont="1" applyFill="1" applyBorder="1" applyAlignment="1">
      <alignment horizontal="center" vertical="center"/>
    </xf>
    <xf numFmtId="0" fontId="33" fillId="0" borderId="0" xfId="23" applyFill="1" applyBorder="1"/>
    <xf numFmtId="0" fontId="8" fillId="0" borderId="0" xfId="23" applyFont="1" applyFill="1" applyBorder="1" applyAlignment="1">
      <alignment horizontal="left"/>
    </xf>
    <xf numFmtId="0" fontId="92" fillId="9" borderId="0" xfId="23" applyFont="1" applyFill="1" applyAlignment="1">
      <alignment horizontal="left"/>
    </xf>
    <xf numFmtId="0" fontId="5" fillId="4" borderId="0" xfId="23" applyFont="1" applyFill="1" applyAlignment="1">
      <alignment horizontal="left" indent="1"/>
    </xf>
    <xf numFmtId="0" fontId="5" fillId="0" borderId="0" xfId="23" applyFont="1" applyFill="1" applyAlignment="1">
      <alignment horizontal="left"/>
    </xf>
    <xf numFmtId="177" fontId="5" fillId="0" borderId="0" xfId="23" applyNumberFormat="1" applyFont="1" applyFill="1" applyAlignment="1">
      <alignment horizontal="center" vertical="center"/>
    </xf>
    <xf numFmtId="1" fontId="42" fillId="0" borderId="0" xfId="23" applyNumberFormat="1" applyFont="1" applyFill="1" applyBorder="1" applyAlignment="1">
      <alignment horizontal="right" vertical="center" indent="3"/>
    </xf>
    <xf numFmtId="0" fontId="45" fillId="0" borderId="11" xfId="23" applyFont="1" applyFill="1" applyBorder="1"/>
    <xf numFmtId="0" fontId="56" fillId="0" borderId="11" xfId="23" applyFont="1" applyFill="1" applyBorder="1" applyAlignment="1">
      <alignment horizontal="left"/>
    </xf>
    <xf numFmtId="0" fontId="45" fillId="0" borderId="12" xfId="23" applyFont="1" applyFill="1" applyBorder="1"/>
    <xf numFmtId="0" fontId="56" fillId="0" borderId="12" xfId="23" applyFont="1" applyFill="1" applyBorder="1" applyAlignment="1">
      <alignment horizontal="left"/>
    </xf>
    <xf numFmtId="0" fontId="56" fillId="0" borderId="12" xfId="23" applyFont="1" applyFill="1" applyBorder="1" applyAlignment="1">
      <alignment horizontal="right" indent="3"/>
    </xf>
    <xf numFmtId="170" fontId="96" fillId="0" borderId="12" xfId="9" applyNumberFormat="1" applyFont="1" applyFill="1" applyBorder="1" applyAlignment="1">
      <alignment horizontal="right" indent="3"/>
    </xf>
    <xf numFmtId="0" fontId="45" fillId="0" borderId="11" xfId="23" applyFont="1" applyFill="1" applyBorder="1" applyAlignment="1">
      <alignment horizontal="left"/>
    </xf>
    <xf numFmtId="0" fontId="45" fillId="0" borderId="12" xfId="23" applyFont="1" applyFill="1" applyBorder="1" applyAlignment="1">
      <alignment horizontal="left"/>
    </xf>
    <xf numFmtId="0" fontId="5" fillId="0" borderId="2" xfId="23" applyFont="1" applyFill="1" applyBorder="1" applyAlignment="1">
      <alignment horizontal="left"/>
    </xf>
    <xf numFmtId="0" fontId="5" fillId="0" borderId="0" xfId="23" applyFont="1" applyFill="1" applyBorder="1" applyAlignment="1">
      <alignment horizontal="left"/>
    </xf>
    <xf numFmtId="0" fontId="5" fillId="0" borderId="1" xfId="23" applyFont="1" applyFill="1" applyBorder="1" applyAlignment="1">
      <alignment horizontal="centerContinuous"/>
    </xf>
    <xf numFmtId="0" fontId="5" fillId="0" borderId="0" xfId="23" applyFont="1" applyFill="1" applyAlignment="1">
      <alignment horizontal="centerContinuous"/>
    </xf>
    <xf numFmtId="0" fontId="97" fillId="0" borderId="1" xfId="23" applyFont="1" applyFill="1" applyBorder="1" applyAlignment="1">
      <alignment horizontal="right"/>
    </xf>
    <xf numFmtId="0" fontId="5" fillId="0" borderId="0" xfId="23" applyFont="1" applyFill="1" applyAlignment="1">
      <alignment horizontal="right"/>
    </xf>
    <xf numFmtId="10" fontId="19" fillId="0" borderId="0" xfId="0" applyNumberFormat="1" applyFont="1" applyFill="1"/>
    <xf numFmtId="0" fontId="0" fillId="0" borderId="0" xfId="0" applyFont="1" applyFill="1" applyAlignment="1">
      <alignment horizontal="left"/>
    </xf>
    <xf numFmtId="0" fontId="6" fillId="0" borderId="0" xfId="23" applyFont="1" applyFill="1" applyAlignment="1">
      <alignment horizontal="left" indent="1"/>
    </xf>
    <xf numFmtId="0" fontId="5" fillId="0" borderId="0" xfId="23" applyFont="1" applyFill="1" applyAlignment="1">
      <alignment horizontal="left" indent="1"/>
    </xf>
    <xf numFmtId="0" fontId="0" fillId="2" borderId="0" xfId="0" applyFill="1" applyAlignment="1"/>
    <xf numFmtId="173" fontId="50" fillId="3" borderId="0" xfId="10" applyNumberFormat="1" applyFont="1" applyFill="1" applyBorder="1" applyAlignment="1">
      <alignment horizontal="right" wrapText="1" indent="4"/>
    </xf>
    <xf numFmtId="0" fontId="11" fillId="0" borderId="0" xfId="31" applyFill="1" applyBorder="1" applyAlignment="1">
      <alignment horizontal="left" vertical="center" indent="1"/>
    </xf>
    <xf numFmtId="0" fontId="0" fillId="0" borderId="0" xfId="31" applyFont="1" applyFill="1" applyBorder="1" applyAlignment="1">
      <alignment horizontal="left" vertical="center" indent="1"/>
    </xf>
    <xf numFmtId="0" fontId="14" fillId="0" borderId="0" xfId="12" applyFont="1" applyFill="1" applyAlignment="1">
      <alignment horizontal="left" vertical="center"/>
    </xf>
    <xf numFmtId="0" fontId="42" fillId="0" borderId="0" xfId="23" quotePrefix="1" applyNumberFormat="1" applyFont="1" applyFill="1" applyBorder="1" applyAlignment="1">
      <alignment horizontal="center"/>
    </xf>
    <xf numFmtId="0" fontId="20" fillId="0" borderId="0" xfId="2" applyFont="1" applyFill="1">
      <alignment vertical="center"/>
    </xf>
    <xf numFmtId="0" fontId="14" fillId="0" borderId="0" xfId="12" applyFont="1" applyFill="1" applyBorder="1" applyAlignment="1">
      <alignment horizontal="left" indent="1"/>
    </xf>
    <xf numFmtId="0" fontId="14" fillId="0" borderId="0" xfId="7" applyFont="1" applyFill="1" applyBorder="1" applyAlignment="1">
      <alignment horizontal="center"/>
    </xf>
    <xf numFmtId="0" fontId="14" fillId="0" borderId="0" xfId="7" applyFont="1" applyFill="1" applyBorder="1" applyAlignment="1">
      <alignment horizontal="left" vertical="top" wrapText="1" indent="1"/>
    </xf>
    <xf numFmtId="172" fontId="14" fillId="0" borderId="0" xfId="7" applyNumberFormat="1" applyFont="1" applyFill="1" applyBorder="1" applyAlignment="1">
      <alignment horizontal="center" vertical="top" wrapText="1"/>
    </xf>
    <xf numFmtId="0" fontId="14" fillId="0" borderId="0" xfId="7" applyFont="1" applyFill="1" applyBorder="1" applyAlignment="1">
      <alignment horizontal="left" vertical="center" wrapText="1"/>
    </xf>
    <xf numFmtId="172" fontId="14" fillId="0" borderId="0" xfId="7" applyNumberFormat="1" applyFont="1" applyFill="1" applyBorder="1" applyAlignment="1">
      <alignment horizontal="center" vertical="center" wrapText="1"/>
    </xf>
    <xf numFmtId="10" fontId="0" fillId="0" borderId="0" xfId="4" applyNumberFormat="1" applyFont="1" applyFill="1" applyAlignment="1">
      <alignment vertical="center"/>
    </xf>
    <xf numFmtId="0" fontId="28" fillId="5" borderId="0" xfId="2" applyFont="1" applyFill="1" applyAlignment="1">
      <alignment vertical="center" wrapText="1"/>
    </xf>
    <xf numFmtId="0" fontId="28" fillId="5" borderId="0" xfId="2" applyFont="1" applyFill="1">
      <alignment vertical="center"/>
    </xf>
    <xf numFmtId="0" fontId="28" fillId="5" borderId="0" xfId="2" applyFont="1" applyFill="1" applyAlignment="1">
      <alignment horizontal="center" vertical="center"/>
    </xf>
    <xf numFmtId="10" fontId="29" fillId="5" borderId="0" xfId="2" applyNumberFormat="1" applyFont="1" applyFill="1">
      <alignment vertical="center"/>
    </xf>
    <xf numFmtId="0" fontId="28" fillId="5" borderId="0" xfId="2" applyFont="1" applyFill="1" applyBorder="1">
      <alignment vertical="center"/>
    </xf>
    <xf numFmtId="171" fontId="28" fillId="5" borderId="0" xfId="2" applyNumberFormat="1" applyFont="1" applyFill="1">
      <alignment vertical="center"/>
    </xf>
    <xf numFmtId="171" fontId="28" fillId="5" borderId="0" xfId="2" applyNumberFormat="1" applyFont="1" applyFill="1" applyBorder="1">
      <alignment vertical="center"/>
    </xf>
    <xf numFmtId="10" fontId="28" fillId="5" borderId="0" xfId="2" applyNumberFormat="1" applyFont="1" applyFill="1">
      <alignment vertical="center"/>
    </xf>
    <xf numFmtId="10" fontId="28" fillId="5" borderId="0" xfId="4" applyNumberFormat="1" applyFont="1" applyFill="1" applyAlignment="1">
      <alignment vertical="center"/>
    </xf>
    <xf numFmtId="171" fontId="29" fillId="5" borderId="0" xfId="2" applyNumberFormat="1" applyFont="1" applyFill="1" applyBorder="1">
      <alignment vertical="center"/>
    </xf>
    <xf numFmtId="10" fontId="29" fillId="5" borderId="0" xfId="4" applyNumberFormat="1" applyFont="1" applyFill="1" applyBorder="1" applyAlignment="1">
      <alignment vertical="center"/>
    </xf>
    <xf numFmtId="0" fontId="29" fillId="5" borderId="0" xfId="2" applyFont="1" applyFill="1" applyBorder="1">
      <alignment vertical="center"/>
    </xf>
    <xf numFmtId="171" fontId="28" fillId="5" borderId="0" xfId="2" applyNumberFormat="1" applyFont="1" applyFill="1" applyBorder="1" applyAlignment="1">
      <alignment vertical="center"/>
    </xf>
    <xf numFmtId="10" fontId="28" fillId="5" borderId="0" xfId="4" applyNumberFormat="1" applyFont="1" applyFill="1" applyBorder="1" applyAlignment="1">
      <alignment vertical="center"/>
    </xf>
    <xf numFmtId="183" fontId="14" fillId="0" borderId="0" xfId="31" applyNumberFormat="1" applyFont="1" applyFill="1" applyAlignment="1">
      <alignment horizontal="right" vertical="center"/>
    </xf>
    <xf numFmtId="10" fontId="14" fillId="0" borderId="7" xfId="13" applyNumberFormat="1" applyFont="1" applyFill="1" applyBorder="1" applyAlignment="1">
      <alignment horizontal="center" wrapText="1"/>
    </xf>
    <xf numFmtId="3" fontId="14" fillId="0" borderId="4" xfId="12" applyNumberFormat="1" applyFont="1" applyFill="1" applyBorder="1" applyAlignment="1">
      <alignment horizontal="right" wrapText="1" indent="1"/>
    </xf>
    <xf numFmtId="10" fontId="14" fillId="0" borderId="0" xfId="13" applyNumberFormat="1" applyFont="1" applyFill="1" applyAlignment="1">
      <alignment horizontal="center" wrapText="1"/>
    </xf>
    <xf numFmtId="0" fontId="0" fillId="0" borderId="0" xfId="0" applyFont="1" applyAlignment="1">
      <alignment horizontal="right"/>
    </xf>
    <xf numFmtId="0" fontId="12" fillId="0" borderId="0" xfId="0" applyFont="1" applyAlignment="1">
      <alignment horizontal="right" wrapText="1"/>
    </xf>
    <xf numFmtId="0" fontId="12" fillId="0" borderId="0" xfId="0" applyFont="1" applyAlignment="1">
      <alignment horizontal="right" vertical="top"/>
    </xf>
    <xf numFmtId="183" fontId="14" fillId="4" borderId="0" xfId="31" applyNumberFormat="1" applyFont="1" applyFill="1" applyAlignment="1">
      <alignment horizontal="right" vertical="center"/>
    </xf>
    <xf numFmtId="183" fontId="14" fillId="4" borderId="0" xfId="0" applyNumberFormat="1" applyFont="1" applyFill="1" applyAlignment="1">
      <alignment horizontal="right" vertical="center"/>
    </xf>
    <xf numFmtId="183" fontId="11" fillId="4" borderId="0" xfId="31" applyNumberFormat="1" applyFill="1" applyAlignment="1">
      <alignment horizontal="right" vertical="center"/>
    </xf>
    <xf numFmtId="170" fontId="0" fillId="4" borderId="0" xfId="4" applyNumberFormat="1" applyFont="1" applyFill="1" applyAlignment="1">
      <alignment horizontal="right" vertical="center"/>
    </xf>
    <xf numFmtId="183" fontId="0" fillId="4" borderId="0" xfId="0" applyNumberFormat="1" applyFill="1" applyAlignment="1">
      <alignment horizontal="right" vertical="center"/>
    </xf>
    <xf numFmtId="9" fontId="0" fillId="4" borderId="0" xfId="4" applyFont="1" applyFill="1" applyAlignment="1">
      <alignment horizontal="right" vertical="center"/>
    </xf>
    <xf numFmtId="0" fontId="28" fillId="5" borderId="0" xfId="31" applyFont="1" applyFill="1" applyBorder="1">
      <alignment vertical="center"/>
    </xf>
    <xf numFmtId="0" fontId="98" fillId="5" borderId="0" xfId="0" applyFont="1" applyFill="1" applyAlignment="1">
      <alignment horizontal="right"/>
    </xf>
    <xf numFmtId="0" fontId="14" fillId="0" borderId="0" xfId="31" applyFont="1" applyFill="1" applyBorder="1" applyAlignment="1">
      <alignment horizontal="left" vertical="center" indent="1"/>
    </xf>
    <xf numFmtId="183" fontId="20" fillId="0" borderId="0" xfId="0" applyNumberFormat="1" applyFont="1" applyFill="1" applyAlignment="1">
      <alignment horizontal="right" vertical="center"/>
    </xf>
    <xf numFmtId="183" fontId="11" fillId="0" borderId="0" xfId="31" applyNumberFormat="1" applyFill="1">
      <alignment vertical="center"/>
    </xf>
    <xf numFmtId="0" fontId="11" fillId="4" borderId="0" xfId="31" applyFill="1" applyBorder="1" applyAlignment="1">
      <alignment horizontal="left" vertical="center" indent="1"/>
    </xf>
    <xf numFmtId="10" fontId="14" fillId="17" borderId="0" xfId="7" applyNumberFormat="1" applyFont="1" applyFill="1" applyAlignment="1">
      <alignment horizontal="center"/>
    </xf>
    <xf numFmtId="2" fontId="11" fillId="2" borderId="0" xfId="31" applyNumberFormat="1" applyFill="1">
      <alignment vertical="center"/>
    </xf>
    <xf numFmtId="0" fontId="80" fillId="2" borderId="0" xfId="31" applyFont="1" applyFill="1">
      <alignment vertical="center"/>
    </xf>
    <xf numFmtId="183" fontId="0" fillId="2" borderId="0" xfId="0" applyNumberFormat="1" applyFill="1" applyAlignment="1">
      <alignment horizontal="center" vertical="center"/>
    </xf>
    <xf numFmtId="0" fontId="20" fillId="0" borderId="0" xfId="2" applyFont="1" applyFill="1">
      <alignment vertical="center"/>
    </xf>
    <xf numFmtId="0" fontId="11" fillId="0" borderId="0" xfId="2" applyFill="1" applyAlignment="1">
      <alignment horizontal="left" vertical="center" wrapText="1" indent="2"/>
    </xf>
    <xf numFmtId="183" fontId="20" fillId="8" borderId="0" xfId="31" applyNumberFormat="1" applyFont="1" applyFill="1" applyAlignment="1">
      <alignment horizontal="right" vertical="center"/>
    </xf>
    <xf numFmtId="171" fontId="14" fillId="0" borderId="2" xfId="2" applyNumberFormat="1" applyFont="1" applyFill="1" applyBorder="1" applyAlignment="1">
      <alignment horizontal="center" vertical="center"/>
    </xf>
    <xf numFmtId="3" fontId="49" fillId="0" borderId="0" xfId="2" applyNumberFormat="1" applyFont="1" applyFill="1" applyBorder="1" applyAlignment="1">
      <alignment horizontal="center" vertical="center"/>
    </xf>
    <xf numFmtId="171" fontId="14" fillId="0" borderId="0" xfId="2" applyNumberFormat="1" applyFont="1" applyFill="1" applyAlignment="1">
      <alignment horizontal="center" vertical="center"/>
    </xf>
    <xf numFmtId="3" fontId="49" fillId="27" borderId="0" xfId="2" applyNumberFormat="1" applyFont="1" applyFill="1" applyBorder="1" applyAlignment="1">
      <alignment horizontal="center" vertical="center"/>
    </xf>
    <xf numFmtId="3" fontId="14" fillId="28" borderId="0" xfId="2" applyNumberFormat="1" applyFont="1" applyFill="1" applyBorder="1" applyAlignment="1">
      <alignment horizontal="center" vertical="center"/>
    </xf>
    <xf numFmtId="188" fontId="14" fillId="0" borderId="0" xfId="2" applyNumberFormat="1" applyFont="1" applyFill="1">
      <alignment vertical="center"/>
    </xf>
    <xf numFmtId="0" fontId="99" fillId="0" borderId="0" xfId="2" applyNumberFormat="1" applyFont="1" applyAlignment="1">
      <alignment horizontal="left" vertical="center"/>
    </xf>
    <xf numFmtId="183" fontId="12" fillId="8" borderId="0" xfId="0" applyNumberFormat="1" applyFont="1" applyFill="1" applyAlignment="1">
      <alignment horizontal="right" vertical="center"/>
    </xf>
    <xf numFmtId="0" fontId="14" fillId="0" borderId="0" xfId="2" applyFont="1" applyFill="1" applyBorder="1" applyAlignment="1">
      <alignment horizontal="center" vertical="center"/>
    </xf>
    <xf numFmtId="183" fontId="11" fillId="8" borderId="0" xfId="31" applyNumberFormat="1" applyFill="1" applyAlignment="1">
      <alignment horizontal="right" vertical="center"/>
    </xf>
    <xf numFmtId="9" fontId="0" fillId="8" borderId="0" xfId="4" applyFont="1" applyFill="1" applyAlignment="1">
      <alignment horizontal="right" vertical="center"/>
    </xf>
    <xf numFmtId="172" fontId="0" fillId="0" borderId="0" xfId="0" applyNumberFormat="1" applyFill="1"/>
    <xf numFmtId="2" fontId="0" fillId="0" borderId="0" xfId="0" applyNumberFormat="1" applyFill="1"/>
    <xf numFmtId="1" fontId="0" fillId="0" borderId="0" xfId="0" applyNumberFormat="1" applyFill="1"/>
    <xf numFmtId="0" fontId="20" fillId="6" borderId="0" xfId="7" applyFont="1" applyFill="1" applyBorder="1" applyAlignment="1">
      <alignment horizontal="right" vertical="top" wrapText="1"/>
    </xf>
    <xf numFmtId="171" fontId="28" fillId="9" borderId="0" xfId="2" applyNumberFormat="1" applyFont="1" applyFill="1">
      <alignment vertical="center"/>
    </xf>
    <xf numFmtId="189" fontId="11" fillId="0" borderId="0" xfId="31" applyNumberFormat="1">
      <alignment vertical="center"/>
    </xf>
    <xf numFmtId="0" fontId="51" fillId="0" borderId="0" xfId="0" applyFont="1" applyAlignment="1">
      <alignment horizontal="center"/>
    </xf>
    <xf numFmtId="1" fontId="14" fillId="0" borderId="0" xfId="10" applyNumberFormat="1" applyFont="1" applyAlignment="1">
      <alignment horizontal="left"/>
    </xf>
    <xf numFmtId="0" fontId="14" fillId="11" borderId="0" xfId="2" applyFont="1" applyFill="1">
      <alignment vertical="center"/>
    </xf>
    <xf numFmtId="10" fontId="57" fillId="0" borderId="0" xfId="2" applyNumberFormat="1" applyFont="1" applyFill="1" applyBorder="1" applyAlignment="1">
      <alignment horizontal="left" vertical="center"/>
    </xf>
    <xf numFmtId="0" fontId="4" fillId="0" borderId="0" xfId="23" applyFont="1" applyFill="1" applyAlignment="1">
      <alignment horizontal="left"/>
    </xf>
    <xf numFmtId="164" fontId="25" fillId="0" borderId="0" xfId="23" applyNumberFormat="1" applyFont="1" applyFill="1" applyAlignment="1">
      <alignment horizontal="right" indent="2"/>
    </xf>
    <xf numFmtId="0" fontId="95" fillId="9" borderId="0" xfId="23" quotePrefix="1" applyFont="1" applyFill="1" applyAlignment="1">
      <alignment horizontal="right" indent="2"/>
    </xf>
    <xf numFmtId="0" fontId="36" fillId="29" borderId="0" xfId="23" applyFont="1" applyFill="1" applyAlignment="1"/>
    <xf numFmtId="0" fontId="36" fillId="29" borderId="0" xfId="23" applyFont="1" applyFill="1" applyAlignment="1">
      <alignment horizontal="left"/>
    </xf>
    <xf numFmtId="177" fontId="36" fillId="29" borderId="0" xfId="23" applyNumberFormat="1" applyFont="1" applyFill="1" applyAlignment="1">
      <alignment horizontal="center" vertical="center"/>
    </xf>
    <xf numFmtId="0" fontId="38" fillId="29" borderId="0" xfId="23" applyFont="1" applyFill="1" applyAlignment="1"/>
    <xf numFmtId="0" fontId="38" fillId="29" borderId="0" xfId="23" applyFont="1" applyFill="1" applyAlignment="1">
      <alignment horizontal="left"/>
    </xf>
    <xf numFmtId="177" fontId="38" fillId="29" borderId="0" xfId="23" applyNumberFormat="1" applyFont="1" applyFill="1" applyAlignment="1">
      <alignment horizontal="center" vertical="center"/>
    </xf>
    <xf numFmtId="173" fontId="50" fillId="4" borderId="0" xfId="10" applyNumberFormat="1" applyFont="1" applyFill="1" applyBorder="1" applyAlignment="1">
      <alignment horizontal="right" vertical="center" indent="5"/>
    </xf>
    <xf numFmtId="173" fontId="50" fillId="4" borderId="0" xfId="10" applyNumberFormat="1" applyFont="1" applyFill="1" applyBorder="1" applyAlignment="1">
      <alignment horizontal="right" vertical="center" indent="7"/>
    </xf>
    <xf numFmtId="173" fontId="50" fillId="4" borderId="0" xfId="10" applyNumberFormat="1" applyFont="1" applyFill="1" applyBorder="1" applyAlignment="1">
      <alignment horizontal="right" wrapText="1" indent="3"/>
    </xf>
    <xf numFmtId="173" fontId="50" fillId="4" borderId="0" xfId="10" applyNumberFormat="1" applyFont="1" applyFill="1" applyBorder="1" applyAlignment="1">
      <alignment horizontal="right" wrapText="1" indent="7"/>
    </xf>
    <xf numFmtId="173" fontId="20" fillId="4" borderId="0" xfId="10" applyNumberFormat="1" applyFont="1" applyFill="1" applyBorder="1" applyAlignment="1">
      <alignment horizontal="right" wrapText="1" indent="5"/>
    </xf>
    <xf numFmtId="173" fontId="14" fillId="8" borderId="0" xfId="10" applyNumberFormat="1" applyFont="1" applyFill="1" applyBorder="1" applyAlignment="1">
      <alignment horizontal="right" wrapText="1" indent="5"/>
    </xf>
    <xf numFmtId="173" fontId="14" fillId="0" borderId="0" xfId="10" applyNumberFormat="1" applyFont="1" applyFill="1" applyBorder="1" applyAlignment="1">
      <alignment horizontal="right" wrapText="1" indent="5"/>
    </xf>
    <xf numFmtId="0" fontId="14" fillId="8" borderId="0" xfId="10" applyFont="1" applyFill="1" applyBorder="1" applyAlignment="1">
      <alignment horizontal="left" indent="1"/>
    </xf>
    <xf numFmtId="0" fontId="14" fillId="8" borderId="0" xfId="10" applyFont="1" applyFill="1" applyBorder="1"/>
    <xf numFmtId="171" fontId="49" fillId="8" borderId="0" xfId="10" applyNumberFormat="1" applyFont="1" applyFill="1" applyBorder="1" applyAlignment="1">
      <alignment horizontal="right" vertical="center" indent="4"/>
    </xf>
    <xf numFmtId="171" fontId="49" fillId="8" borderId="0" xfId="10" applyNumberFormat="1" applyFont="1" applyFill="1" applyBorder="1" applyAlignment="1">
      <alignment horizontal="right" vertical="center" indent="7"/>
    </xf>
    <xf numFmtId="171" fontId="49" fillId="4" borderId="0" xfId="10" applyNumberFormat="1" applyFont="1" applyFill="1" applyBorder="1" applyAlignment="1">
      <alignment horizontal="right" vertical="center" indent="4"/>
    </xf>
    <xf numFmtId="171" fontId="49" fillId="4" borderId="0" xfId="10" applyNumberFormat="1" applyFont="1" applyFill="1" applyBorder="1" applyAlignment="1">
      <alignment horizontal="right" vertical="center" indent="5"/>
    </xf>
    <xf numFmtId="173" fontId="14" fillId="0" borderId="0" xfId="10" applyNumberFormat="1" applyFont="1" applyFill="1" applyBorder="1" applyAlignment="1">
      <alignment horizontal="right" wrapText="1" indent="3"/>
    </xf>
    <xf numFmtId="173" fontId="14" fillId="0" borderId="0" xfId="10" applyNumberFormat="1" applyFont="1" applyFill="1" applyBorder="1" applyAlignment="1">
      <alignment horizontal="right" wrapText="1" indent="4"/>
    </xf>
    <xf numFmtId="173" fontId="14" fillId="0" borderId="0" xfId="10" applyNumberFormat="1" applyFont="1" applyFill="1" applyBorder="1" applyAlignment="1">
      <alignment horizontal="right" wrapText="1" indent="7"/>
    </xf>
    <xf numFmtId="0" fontId="100" fillId="0" borderId="11" xfId="12" applyFont="1" applyFill="1" applyBorder="1" applyAlignment="1">
      <alignment vertical="center"/>
    </xf>
    <xf numFmtId="0" fontId="100" fillId="0" borderId="11" xfId="12" applyFont="1" applyFill="1" applyBorder="1" applyAlignment="1">
      <alignment horizontal="right" indent="3"/>
    </xf>
    <xf numFmtId="171" fontId="100" fillId="0" borderId="11" xfId="17" applyNumberFormat="1" applyFont="1" applyFill="1" applyBorder="1" applyAlignment="1">
      <alignment horizontal="right" vertical="center" indent="3"/>
    </xf>
    <xf numFmtId="171" fontId="100" fillId="0" borderId="11" xfId="4" applyNumberFormat="1" applyFont="1" applyFill="1" applyBorder="1" applyAlignment="1">
      <alignment horizontal="right" vertical="center" indent="3"/>
    </xf>
    <xf numFmtId="171" fontId="100" fillId="0" borderId="11" xfId="0" applyNumberFormat="1" applyFont="1" applyFill="1" applyBorder="1" applyAlignment="1">
      <alignment horizontal="right" wrapText="1" indent="3"/>
    </xf>
    <xf numFmtId="0" fontId="100" fillId="0" borderId="12" xfId="12" applyFont="1" applyFill="1" applyBorder="1" applyAlignment="1">
      <alignment vertical="center"/>
    </xf>
    <xf numFmtId="0" fontId="100" fillId="0" borderId="12" xfId="12" applyFont="1" applyFill="1" applyBorder="1" applyAlignment="1">
      <alignment horizontal="right" indent="3"/>
    </xf>
    <xf numFmtId="171" fontId="100" fillId="0" borderId="12" xfId="17" applyNumberFormat="1" applyFont="1" applyFill="1" applyBorder="1" applyAlignment="1">
      <alignment horizontal="right" vertical="center" indent="3"/>
    </xf>
    <xf numFmtId="171" fontId="100" fillId="0" borderId="12" xfId="4" applyNumberFormat="1" applyFont="1" applyFill="1" applyBorder="1" applyAlignment="1">
      <alignment horizontal="right" vertical="center" indent="3"/>
    </xf>
    <xf numFmtId="171" fontId="100" fillId="0" borderId="12" xfId="0" applyNumberFormat="1" applyFont="1" applyFill="1" applyBorder="1" applyAlignment="1">
      <alignment horizontal="right" wrapText="1" indent="3"/>
    </xf>
    <xf numFmtId="0" fontId="14" fillId="4" borderId="0" xfId="12" applyFont="1" applyFill="1" applyAlignment="1">
      <alignment horizontal="left" indent="1"/>
    </xf>
    <xf numFmtId="10" fontId="14" fillId="4" borderId="0" xfId="4" applyNumberFormat="1" applyFont="1" applyFill="1" applyBorder="1" applyAlignment="1">
      <alignment horizontal="right" indent="3"/>
    </xf>
    <xf numFmtId="10" fontId="14" fillId="0" borderId="0" xfId="4" applyNumberFormat="1" applyFont="1" applyFill="1" applyBorder="1" applyAlignment="1">
      <alignment horizontal="right" indent="3"/>
    </xf>
    <xf numFmtId="0" fontId="14" fillId="4" borderId="0" xfId="12" applyFont="1" applyFill="1" applyAlignment="1">
      <alignment horizontal="left" indent="3"/>
    </xf>
    <xf numFmtId="0" fontId="14" fillId="4" borderId="0" xfId="12" applyFont="1" applyFill="1" applyAlignment="1">
      <alignment horizontal="left" wrapText="1" indent="2"/>
    </xf>
    <xf numFmtId="10" fontId="49" fillId="0" borderId="0" xfId="4" applyNumberFormat="1" applyFont="1" applyFill="1" applyBorder="1" applyAlignment="1">
      <alignment horizontal="right" indent="3"/>
    </xf>
    <xf numFmtId="0" fontId="14" fillId="4" borderId="0" xfId="12" applyFont="1" applyFill="1" applyAlignment="1">
      <alignment horizontal="left" indent="2"/>
    </xf>
    <xf numFmtId="10" fontId="49" fillId="19" borderId="0" xfId="4" applyNumberFormat="1" applyFont="1" applyFill="1" applyBorder="1" applyAlignment="1">
      <alignment horizontal="right" indent="3"/>
    </xf>
    <xf numFmtId="10" fontId="49" fillId="24" borderId="0" xfId="4" applyNumberFormat="1" applyFont="1" applyFill="1" applyBorder="1" applyAlignment="1">
      <alignment horizontal="right" indent="3"/>
    </xf>
    <xf numFmtId="171" fontId="14" fillId="3" borderId="0" xfId="13" applyNumberFormat="1" applyFont="1" applyFill="1" applyAlignment="1">
      <alignment horizontal="right" wrapText="1" indent="3"/>
    </xf>
    <xf numFmtId="173" fontId="14" fillId="8" borderId="0" xfId="10" applyNumberFormat="1" applyFont="1" applyFill="1" applyBorder="1" applyAlignment="1">
      <alignment horizontal="right" wrapText="1" indent="2"/>
    </xf>
    <xf numFmtId="173" fontId="14" fillId="8" borderId="0" xfId="10" applyNumberFormat="1" applyFont="1" applyFill="1" applyBorder="1" applyAlignment="1">
      <alignment horizontal="right" wrapText="1" indent="4"/>
    </xf>
    <xf numFmtId="173" fontId="14" fillId="8" borderId="0" xfId="10" applyNumberFormat="1" applyFont="1" applyFill="1" applyBorder="1" applyAlignment="1">
      <alignment horizontal="right" wrapText="1" indent="6"/>
    </xf>
    <xf numFmtId="173" fontId="14" fillId="8" borderId="0" xfId="10" applyNumberFormat="1" applyFont="1" applyFill="1" applyBorder="1" applyAlignment="1">
      <alignment horizontal="right" wrapText="1" indent="3"/>
    </xf>
    <xf numFmtId="173" fontId="14" fillId="0" borderId="0" xfId="10" applyNumberFormat="1" applyFont="1" applyFill="1" applyBorder="1" applyAlignment="1">
      <alignment horizontal="right" wrapText="1" indent="2"/>
    </xf>
    <xf numFmtId="173" fontId="14" fillId="0" borderId="0" xfId="10" applyNumberFormat="1" applyFont="1" applyFill="1" applyBorder="1" applyAlignment="1">
      <alignment horizontal="right" wrapText="1" indent="6"/>
    </xf>
    <xf numFmtId="0" fontId="14" fillId="4" borderId="0" xfId="10" applyFont="1" applyFill="1" applyBorder="1"/>
    <xf numFmtId="171" fontId="49" fillId="8" borderId="0" xfId="10" applyNumberFormat="1" applyFont="1" applyFill="1" applyBorder="1" applyAlignment="1">
      <alignment horizontal="right" vertical="center" indent="2"/>
    </xf>
    <xf numFmtId="173" fontId="50" fillId="4" borderId="0" xfId="10" applyNumberFormat="1" applyFont="1" applyFill="1" applyBorder="1" applyAlignment="1">
      <alignment horizontal="right" wrapText="1" indent="2"/>
    </xf>
    <xf numFmtId="10" fontId="14" fillId="0" borderId="0" xfId="4" applyNumberFormat="1" applyFont="1" applyFill="1" applyBorder="1" applyAlignment="1">
      <alignment horizontal="center"/>
    </xf>
    <xf numFmtId="171" fontId="14" fillId="0" borderId="0" xfId="4" applyNumberFormat="1" applyFont="1" applyFill="1" applyAlignment="1">
      <alignment horizontal="right" indent="3"/>
    </xf>
    <xf numFmtId="10" fontId="14" fillId="8" borderId="0" xfId="4" applyNumberFormat="1" applyFont="1" applyFill="1" applyBorder="1" applyAlignment="1">
      <alignment horizontal="center"/>
    </xf>
    <xf numFmtId="171" fontId="14" fillId="4" borderId="0" xfId="4" applyNumberFormat="1" applyFont="1" applyFill="1" applyBorder="1" applyAlignment="1">
      <alignment horizontal="right" indent="3"/>
    </xf>
    <xf numFmtId="171" fontId="14" fillId="8" borderId="0" xfId="13" applyNumberFormat="1" applyFont="1" applyFill="1" applyAlignment="1">
      <alignment horizontal="right" wrapText="1" indent="3"/>
    </xf>
    <xf numFmtId="171" fontId="14" fillId="0" borderId="0" xfId="4" applyNumberFormat="1" applyFont="1" applyFill="1" applyBorder="1" applyAlignment="1">
      <alignment horizontal="right" indent="3"/>
    </xf>
    <xf numFmtId="10" fontId="14" fillId="4" borderId="0" xfId="4" applyNumberFormat="1" applyFont="1" applyFill="1" applyBorder="1" applyAlignment="1">
      <alignment horizontal="center"/>
    </xf>
    <xf numFmtId="171" fontId="14" fillId="4" borderId="0" xfId="17" applyNumberFormat="1" applyFont="1" applyFill="1" applyBorder="1" applyAlignment="1">
      <alignment horizontal="right" indent="3"/>
    </xf>
    <xf numFmtId="171" fontId="49" fillId="0" borderId="0" xfId="13" applyNumberFormat="1" applyFont="1" applyFill="1" applyBorder="1" applyAlignment="1">
      <alignment horizontal="right" wrapText="1" indent="3"/>
    </xf>
    <xf numFmtId="171" fontId="100" fillId="0" borderId="11" xfId="17" applyNumberFormat="1" applyFont="1" applyFill="1" applyBorder="1" applyAlignment="1">
      <alignment horizontal="right" indent="3"/>
    </xf>
    <xf numFmtId="171" fontId="100" fillId="0" borderId="11" xfId="13" applyNumberFormat="1" applyFont="1" applyFill="1" applyBorder="1" applyAlignment="1">
      <alignment horizontal="right" wrapText="1" indent="3"/>
    </xf>
    <xf numFmtId="171" fontId="100" fillId="0" borderId="12" xfId="17" applyNumberFormat="1" applyFont="1" applyFill="1" applyBorder="1" applyAlignment="1">
      <alignment horizontal="right" indent="3"/>
    </xf>
    <xf numFmtId="171" fontId="100" fillId="0" borderId="12" xfId="13" applyNumberFormat="1" applyFont="1" applyFill="1" applyBorder="1" applyAlignment="1">
      <alignment horizontal="right" wrapText="1" indent="3"/>
    </xf>
    <xf numFmtId="173" fontId="49" fillId="12" borderId="0" xfId="10" applyNumberFormat="1" applyFont="1" applyFill="1" applyBorder="1" applyAlignment="1">
      <alignment horizontal="right" wrapText="1" indent="4"/>
    </xf>
    <xf numFmtId="173" fontId="49" fillId="0" borderId="0" xfId="10" applyNumberFormat="1" applyFont="1" applyFill="1" applyBorder="1" applyAlignment="1">
      <alignment horizontal="right" wrapText="1" indent="4"/>
    </xf>
    <xf numFmtId="173" fontId="14" fillId="4" borderId="0" xfId="10" applyNumberFormat="1" applyFont="1" applyFill="1" applyBorder="1" applyAlignment="1">
      <alignment horizontal="right" wrapText="1" indent="4"/>
    </xf>
    <xf numFmtId="4" fontId="49" fillId="0" borderId="0" xfId="0" applyNumberFormat="1" applyFont="1" applyAlignment="1">
      <alignment horizontal="right" vertical="center"/>
    </xf>
    <xf numFmtId="0" fontId="11" fillId="0" borderId="2" xfId="2" applyFont="1" applyFill="1" applyBorder="1" applyAlignment="1">
      <alignment vertical="top"/>
    </xf>
    <xf numFmtId="170" fontId="11" fillId="0" borderId="0" xfId="4" applyNumberFormat="1" applyFont="1" applyFill="1" applyAlignment="1"/>
    <xf numFmtId="170" fontId="11" fillId="0" borderId="0" xfId="4" applyNumberFormat="1" applyFont="1" applyFill="1" applyAlignment="1">
      <alignment vertical="center"/>
    </xf>
    <xf numFmtId="171" fontId="11" fillId="0" borderId="0" xfId="2" applyNumberFormat="1" applyFont="1" applyFill="1" applyAlignment="1">
      <alignment vertical="center"/>
    </xf>
    <xf numFmtId="171" fontId="12" fillId="0" borderId="0" xfId="2" applyNumberFormat="1" applyFont="1" applyFill="1" applyAlignment="1">
      <alignment horizontal="right" vertical="center"/>
    </xf>
    <xf numFmtId="0" fontId="12" fillId="6" borderId="0" xfId="11" applyFont="1" applyFill="1" applyBorder="1" applyAlignment="1">
      <alignment horizontal="right" vertical="top"/>
    </xf>
    <xf numFmtId="0" fontId="12" fillId="6" borderId="0" xfId="7" applyFont="1" applyFill="1" applyBorder="1" applyAlignment="1">
      <alignment horizontal="right" vertical="top" wrapText="1"/>
    </xf>
    <xf numFmtId="0" fontId="14" fillId="0" borderId="0" xfId="0" applyFont="1" applyFill="1" applyAlignment="1"/>
    <xf numFmtId="0" fontId="14" fillId="0" borderId="0" xfId="0" applyFont="1" applyAlignment="1"/>
    <xf numFmtId="171" fontId="29" fillId="0" borderId="0" xfId="2" applyNumberFormat="1" applyFont="1" applyFill="1" applyBorder="1" applyAlignment="1">
      <alignment horizontal="left" vertical="top"/>
    </xf>
    <xf numFmtId="171" fontId="49" fillId="13" borderId="12" xfId="11" applyNumberFormat="1" applyFont="1" applyFill="1" applyBorder="1" applyAlignment="1">
      <alignment vertical="center"/>
    </xf>
    <xf numFmtId="171" fontId="49" fillId="13" borderId="12" xfId="7" applyNumberFormat="1" applyFont="1" applyFill="1" applyBorder="1" applyAlignment="1">
      <alignment vertical="center"/>
    </xf>
    <xf numFmtId="171" fontId="49" fillId="13" borderId="0" xfId="11" applyNumberFormat="1" applyFont="1" applyFill="1" applyBorder="1" applyAlignment="1">
      <alignment vertical="center"/>
    </xf>
    <xf numFmtId="171" fontId="49" fillId="13" borderId="0" xfId="7" applyNumberFormat="1" applyFont="1" applyFill="1" applyBorder="1" applyAlignment="1">
      <alignment vertical="center"/>
    </xf>
    <xf numFmtId="0" fontId="5" fillId="0" borderId="0" xfId="23" applyFont="1" applyFill="1" applyAlignment="1"/>
    <xf numFmtId="0" fontId="33" fillId="4" borderId="0" xfId="23" applyFill="1" applyAlignment="1"/>
    <xf numFmtId="164" fontId="58" fillId="30" borderId="0" xfId="23" applyNumberFormat="1" applyFont="1" applyFill="1" applyBorder="1" applyAlignment="1">
      <alignment horizontal="right" indent="3"/>
    </xf>
    <xf numFmtId="164" fontId="58" fillId="29" borderId="0" xfId="23" applyNumberFormat="1" applyFont="1" applyFill="1" applyBorder="1" applyAlignment="1">
      <alignment horizontal="right" indent="3"/>
    </xf>
    <xf numFmtId="175" fontId="14" fillId="0" borderId="0" xfId="3" applyNumberFormat="1" applyFont="1" applyFill="1" applyAlignment="1">
      <alignment horizontal="right"/>
    </xf>
    <xf numFmtId="175" fontId="14" fillId="0" borderId="0" xfId="0" applyNumberFormat="1" applyFont="1" applyFill="1" applyAlignment="1">
      <alignment horizontal="right"/>
    </xf>
    <xf numFmtId="14" fontId="49" fillId="0" borderId="0" xfId="2" applyNumberFormat="1" applyFont="1" applyFill="1" applyBorder="1" applyAlignment="1">
      <alignment vertical="center"/>
    </xf>
    <xf numFmtId="10" fontId="14" fillId="0" borderId="0" xfId="4" applyNumberFormat="1" applyFont="1" applyFill="1" applyBorder="1" applyAlignment="1">
      <alignment horizontal="right" indent="4"/>
    </xf>
    <xf numFmtId="10" fontId="14" fillId="4" borderId="0" xfId="4" applyNumberFormat="1" applyFont="1" applyFill="1" applyBorder="1" applyAlignment="1">
      <alignment horizontal="right" indent="4"/>
    </xf>
    <xf numFmtId="171" fontId="14" fillId="19" borderId="0" xfId="13" applyNumberFormat="1" applyFont="1" applyFill="1" applyAlignment="1">
      <alignment horizontal="right" wrapText="1" indent="2"/>
    </xf>
    <xf numFmtId="10" fontId="14" fillId="19" borderId="0" xfId="4" applyNumberFormat="1" applyFont="1" applyFill="1" applyBorder="1" applyAlignment="1">
      <alignment horizontal="right" indent="4"/>
    </xf>
    <xf numFmtId="0" fontId="98" fillId="0" borderId="11" xfId="12" applyFont="1" applyFill="1" applyBorder="1" applyAlignment="1">
      <alignment horizontal="left" indent="2"/>
    </xf>
    <xf numFmtId="171" fontId="100" fillId="0" borderId="11" xfId="4" applyNumberFormat="1" applyFont="1" applyFill="1" applyBorder="1" applyAlignment="1">
      <alignment horizontal="right" vertical="center" indent="2"/>
    </xf>
    <xf numFmtId="171" fontId="100" fillId="0" borderId="11" xfId="13" applyNumberFormat="1" applyFont="1" applyFill="1" applyBorder="1" applyAlignment="1">
      <alignment horizontal="right" wrapText="1"/>
    </xf>
    <xf numFmtId="0" fontId="98" fillId="0" borderId="12" xfId="12" applyFont="1" applyFill="1" applyBorder="1" applyAlignment="1">
      <alignment horizontal="left" indent="2"/>
    </xf>
    <xf numFmtId="171" fontId="100" fillId="0" borderId="12" xfId="4" applyNumberFormat="1" applyFont="1" applyFill="1" applyBorder="1" applyAlignment="1">
      <alignment horizontal="right" vertical="center" indent="2"/>
    </xf>
    <xf numFmtId="171" fontId="100" fillId="0" borderId="12" xfId="13" applyNumberFormat="1" applyFont="1" applyFill="1" applyBorder="1" applyAlignment="1">
      <alignment horizontal="right" wrapText="1"/>
    </xf>
    <xf numFmtId="0" fontId="50" fillId="0" borderId="0" xfId="12" applyNumberFormat="1" applyFont="1" applyFill="1" applyBorder="1" applyAlignment="1">
      <alignment horizontal="left" indent="1"/>
    </xf>
    <xf numFmtId="171" fontId="50" fillId="0" borderId="0" xfId="13" applyNumberFormat="1" applyFont="1" applyFill="1" applyBorder="1" applyAlignment="1">
      <alignment horizontal="right" wrapText="1" indent="2"/>
    </xf>
    <xf numFmtId="171" fontId="50" fillId="0" borderId="0" xfId="13" applyNumberFormat="1" applyFont="1" applyFill="1" applyBorder="1" applyAlignment="1">
      <alignment horizontal="right" wrapText="1" indent="3"/>
    </xf>
    <xf numFmtId="171" fontId="50" fillId="0" borderId="0" xfId="13" applyNumberFormat="1" applyFont="1" applyFill="1" applyBorder="1" applyAlignment="1">
      <alignment horizontal="right" wrapText="1"/>
    </xf>
    <xf numFmtId="0" fontId="14" fillId="0" borderId="0" xfId="12" applyFont="1" applyFill="1" applyAlignment="1">
      <alignment horizontal="left" wrapText="1" indent="3"/>
    </xf>
    <xf numFmtId="0" fontId="14" fillId="0" borderId="0" xfId="12" applyFont="1" applyFill="1" applyAlignment="1">
      <alignment horizontal="left" wrapText="1" indent="2"/>
    </xf>
    <xf numFmtId="0" fontId="0" fillId="8" borderId="0" xfId="0" applyFill="1" applyAlignment="1">
      <alignment horizontal="right"/>
    </xf>
    <xf numFmtId="0" fontId="20" fillId="29" borderId="0" xfId="12" applyFont="1" applyFill="1" applyAlignment="1"/>
    <xf numFmtId="171" fontId="20" fillId="29" borderId="0" xfId="12" applyNumberFormat="1" applyFont="1" applyFill="1" applyAlignment="1">
      <alignment horizontal="right" wrapText="1" indent="3"/>
    </xf>
    <xf numFmtId="0" fontId="20" fillId="29" borderId="0" xfId="12" applyFont="1" applyFill="1" applyAlignment="1">
      <alignment horizontal="right" indent="3"/>
    </xf>
    <xf numFmtId="0" fontId="49" fillId="13" borderId="0" xfId="12" applyNumberFormat="1" applyFont="1" applyFill="1" applyBorder="1" applyAlignment="1">
      <alignment horizontal="left" wrapText="1" indent="2"/>
    </xf>
    <xf numFmtId="10" fontId="49" fillId="13" borderId="0" xfId="4" applyNumberFormat="1" applyFont="1" applyFill="1" applyBorder="1" applyAlignment="1">
      <alignment horizontal="right" indent="3"/>
    </xf>
    <xf numFmtId="171" fontId="49" fillId="13" borderId="0" xfId="13" applyNumberFormat="1" applyFont="1" applyFill="1" applyBorder="1" applyAlignment="1">
      <alignment horizontal="right" wrapText="1" indent="3"/>
    </xf>
    <xf numFmtId="172" fontId="49" fillId="10" borderId="0" xfId="7" applyNumberFormat="1" applyFont="1" applyFill="1" applyBorder="1" applyAlignment="1"/>
    <xf numFmtId="171" fontId="20" fillId="29" borderId="0" xfId="12" applyNumberFormat="1" applyFont="1" applyFill="1" applyAlignment="1">
      <alignment horizontal="right" wrapText="1" indent="2"/>
    </xf>
    <xf numFmtId="0" fontId="3" fillId="4" borderId="0" xfId="23" applyFont="1" applyFill="1" applyAlignment="1">
      <alignment horizontal="left"/>
    </xf>
    <xf numFmtId="0" fontId="5" fillId="0" borderId="0" xfId="23" quotePrefix="1" applyFont="1" applyFill="1" applyAlignment="1">
      <alignment horizontal="left"/>
    </xf>
    <xf numFmtId="0" fontId="56" fillId="0" borderId="11" xfId="23" applyFont="1" applyFill="1" applyBorder="1" applyAlignment="1">
      <alignment horizontal="right"/>
    </xf>
    <xf numFmtId="170" fontId="96" fillId="0" borderId="11" xfId="9" applyNumberFormat="1" applyFont="1" applyFill="1" applyBorder="1" applyAlignment="1">
      <alignment horizontal="right"/>
    </xf>
    <xf numFmtId="0" fontId="56" fillId="0" borderId="12" xfId="23" applyFont="1" applyFill="1" applyBorder="1" applyAlignment="1">
      <alignment horizontal="right"/>
    </xf>
    <xf numFmtId="170" fontId="96" fillId="0" borderId="12" xfId="9" applyNumberFormat="1" applyFont="1" applyFill="1" applyBorder="1" applyAlignment="1">
      <alignment horizontal="right"/>
    </xf>
    <xf numFmtId="0" fontId="44" fillId="0" borderId="0" xfId="23" quotePrefix="1" applyFont="1" applyFill="1" applyAlignment="1">
      <alignment horizontal="right" indent="3"/>
    </xf>
    <xf numFmtId="0" fontId="95" fillId="9" borderId="0" xfId="23" quotePrefix="1" applyFont="1" applyFill="1" applyAlignment="1">
      <alignment horizontal="right" indent="3"/>
    </xf>
    <xf numFmtId="0" fontId="39" fillId="0" borderId="0" xfId="23" applyFont="1" applyFill="1" applyBorder="1" applyAlignment="1">
      <alignment horizontal="right" indent="3"/>
    </xf>
    <xf numFmtId="0" fontId="25" fillId="0" borderId="0" xfId="23" applyFont="1" applyFill="1" applyBorder="1" applyAlignment="1">
      <alignment horizontal="right" indent="3"/>
    </xf>
    <xf numFmtId="0" fontId="36" fillId="0" borderId="0" xfId="23" applyFont="1" applyFill="1" applyAlignment="1">
      <alignment vertical="center"/>
    </xf>
    <xf numFmtId="0" fontId="33" fillId="0" borderId="0" xfId="23" applyFill="1" applyAlignment="1">
      <alignment vertical="center"/>
    </xf>
    <xf numFmtId="0" fontId="8" fillId="0" borderId="0" xfId="23" applyFont="1" applyFill="1" applyAlignment="1">
      <alignment vertical="center"/>
    </xf>
    <xf numFmtId="171" fontId="50" fillId="29" borderId="0" xfId="12" applyNumberFormat="1" applyFont="1" applyFill="1" applyBorder="1" applyAlignment="1">
      <alignment horizontal="right" indent="2"/>
    </xf>
    <xf numFmtId="0" fontId="20" fillId="4" borderId="0" xfId="10" applyFont="1" applyFill="1" applyBorder="1" applyAlignment="1"/>
    <xf numFmtId="0" fontId="20" fillId="0" borderId="0" xfId="10" applyFont="1" applyFill="1" applyBorder="1" applyAlignment="1"/>
    <xf numFmtId="0" fontId="20" fillId="4" borderId="0" xfId="12" applyFont="1" applyFill="1" applyAlignment="1"/>
    <xf numFmtId="0" fontId="14" fillId="4" borderId="0" xfId="12" applyFont="1" applyFill="1" applyAlignment="1">
      <alignment horizontal="left" vertical="center"/>
    </xf>
    <xf numFmtId="176" fontId="20" fillId="29" borderId="0" xfId="17" applyNumberFormat="1" applyFont="1" applyFill="1" applyBorder="1" applyAlignment="1"/>
    <xf numFmtId="176" fontId="20" fillId="29" borderId="0" xfId="17" applyNumberFormat="1" applyFont="1" applyFill="1" applyBorder="1" applyAlignment="1">
      <alignment horizontal="right"/>
    </xf>
    <xf numFmtId="171" fontId="20" fillId="29" borderId="0" xfId="13" applyNumberFormat="1" applyFont="1" applyFill="1" applyAlignment="1">
      <alignment horizontal="right" wrapText="1" indent="3"/>
    </xf>
    <xf numFmtId="0" fontId="20" fillId="29" borderId="0" xfId="12" applyFont="1" applyFill="1" applyAlignment="1">
      <alignment vertical="center"/>
    </xf>
    <xf numFmtId="0" fontId="20" fillId="0" borderId="0" xfId="10" applyFont="1" applyFill="1" applyAlignment="1"/>
    <xf numFmtId="0" fontId="20" fillId="4" borderId="0" xfId="10" applyFont="1" applyFill="1" applyAlignment="1"/>
    <xf numFmtId="0" fontId="20" fillId="3" borderId="0" xfId="10" applyFont="1" applyFill="1" applyBorder="1" applyAlignment="1"/>
    <xf numFmtId="0" fontId="42" fillId="4" borderId="0" xfId="23" quotePrefix="1" applyNumberFormat="1" applyFont="1" applyFill="1" applyBorder="1" applyAlignment="1">
      <alignment horizontal="center"/>
    </xf>
    <xf numFmtId="0" fontId="0" fillId="0" borderId="0" xfId="0" applyFont="1" applyFill="1" applyAlignment="1">
      <alignment vertical="center"/>
    </xf>
    <xf numFmtId="0" fontId="5" fillId="0" borderId="0" xfId="23" applyFont="1" applyFill="1" applyAlignment="1">
      <alignment vertical="center"/>
    </xf>
    <xf numFmtId="171" fontId="50" fillId="29" borderId="0" xfId="12" applyNumberFormat="1" applyFont="1" applyFill="1" applyBorder="1" applyAlignment="1">
      <alignment vertical="center"/>
    </xf>
    <xf numFmtId="171" fontId="20" fillId="29" borderId="0" xfId="12" applyNumberFormat="1" applyFont="1" applyFill="1" applyAlignment="1">
      <alignment horizontal="right" vertical="center" wrapText="1"/>
    </xf>
    <xf numFmtId="0" fontId="20" fillId="29" borderId="0" xfId="12" applyFont="1" applyFill="1" applyAlignment="1">
      <alignment horizontal="right" vertical="center"/>
    </xf>
    <xf numFmtId="171" fontId="50" fillId="29" borderId="0" xfId="17" applyNumberFormat="1" applyFont="1" applyFill="1" applyBorder="1" applyAlignment="1">
      <alignment horizontal="right"/>
    </xf>
    <xf numFmtId="171" fontId="20" fillId="29" borderId="0" xfId="13" applyNumberFormat="1" applyFont="1" applyFill="1" applyAlignment="1">
      <alignment horizontal="right" wrapText="1"/>
    </xf>
    <xf numFmtId="171" fontId="50" fillId="29" borderId="0" xfId="17" applyNumberFormat="1" applyFont="1" applyFill="1" applyBorder="1" applyAlignment="1">
      <alignment horizontal="right" indent="3"/>
    </xf>
    <xf numFmtId="171" fontId="20" fillId="29" borderId="0" xfId="12" applyNumberFormat="1" applyFont="1" applyFill="1" applyAlignment="1">
      <alignment horizontal="right" vertical="center" wrapText="1" indent="3"/>
    </xf>
    <xf numFmtId="170" fontId="14" fillId="0" borderId="0" xfId="4" applyNumberFormat="1" applyFont="1" applyFill="1" applyAlignment="1">
      <alignment horizontal="right" indent="2"/>
    </xf>
    <xf numFmtId="170" fontId="14" fillId="4" borderId="0" xfId="0" applyNumberFormat="1" applyFont="1" applyFill="1" applyAlignment="1">
      <alignment horizontal="right" vertical="center" indent="2"/>
    </xf>
    <xf numFmtId="164" fontId="25" fillId="4" borderId="0" xfId="23" applyNumberFormat="1" applyFont="1" applyFill="1" applyAlignment="1">
      <alignment horizontal="right" indent="2"/>
    </xf>
    <xf numFmtId="0" fontId="44" fillId="0" borderId="0" xfId="23" quotePrefix="1" applyFont="1" applyFill="1" applyAlignment="1">
      <alignment horizontal="right" indent="2"/>
    </xf>
    <xf numFmtId="0" fontId="39" fillId="0" borderId="0" xfId="23" quotePrefix="1" applyFont="1" applyFill="1" applyAlignment="1">
      <alignment horizontal="right" indent="2"/>
    </xf>
    <xf numFmtId="0" fontId="39" fillId="0" borderId="2" xfId="23" applyFont="1" applyFill="1" applyBorder="1" applyAlignment="1">
      <alignment horizontal="right" indent="2"/>
    </xf>
    <xf numFmtId="0" fontId="25" fillId="0" borderId="2" xfId="23" applyFont="1" applyFill="1" applyBorder="1" applyAlignment="1">
      <alignment horizontal="right" indent="2"/>
    </xf>
    <xf numFmtId="0" fontId="39" fillId="0" borderId="0" xfId="23" applyFont="1" applyFill="1" applyBorder="1" applyAlignment="1">
      <alignment horizontal="right" indent="2"/>
    </xf>
    <xf numFmtId="0" fontId="25" fillId="0" borderId="0" xfId="23" applyFont="1" applyFill="1" applyBorder="1" applyAlignment="1">
      <alignment horizontal="right" indent="2"/>
    </xf>
    <xf numFmtId="164" fontId="58" fillId="30" borderId="0" xfId="23" applyNumberFormat="1" applyFont="1" applyFill="1" applyBorder="1" applyAlignment="1">
      <alignment horizontal="right" indent="2"/>
    </xf>
    <xf numFmtId="164" fontId="58" fillId="29" borderId="0" xfId="23" applyNumberFormat="1" applyFont="1" applyFill="1" applyBorder="1" applyAlignment="1">
      <alignment horizontal="right" indent="2"/>
    </xf>
    <xf numFmtId="3" fontId="42" fillId="4" borderId="0" xfId="23" quotePrefix="1" applyNumberFormat="1" applyFont="1" applyFill="1" applyBorder="1" applyAlignment="1">
      <alignment horizontal="center" vertical="center"/>
    </xf>
    <xf numFmtId="164" fontId="25" fillId="4" borderId="0" xfId="23" applyNumberFormat="1" applyFont="1" applyFill="1" applyAlignment="1">
      <alignment horizontal="center"/>
    </xf>
    <xf numFmtId="164" fontId="25" fillId="0" borderId="0" xfId="23" applyNumberFormat="1" applyFont="1" applyFill="1" applyAlignment="1">
      <alignment horizontal="center"/>
    </xf>
    <xf numFmtId="0" fontId="0" fillId="0" borderId="0" xfId="0" applyAlignment="1">
      <alignment horizontal="left" wrapText="1" indent="2"/>
    </xf>
    <xf numFmtId="0" fontId="0" fillId="8" borderId="0" xfId="31" applyFont="1" applyFill="1" applyBorder="1" applyAlignment="1">
      <alignment horizontal="left" vertical="center" indent="1"/>
    </xf>
    <xf numFmtId="183" fontId="0" fillId="0" borderId="0" xfId="0" applyNumberFormat="1" applyFont="1" applyFill="1" applyAlignment="1">
      <alignment horizontal="right" vertical="center"/>
    </xf>
    <xf numFmtId="0" fontId="0" fillId="11" borderId="0" xfId="0" applyFill="1" applyAlignment="1">
      <alignment vertical="center"/>
    </xf>
    <xf numFmtId="0" fontId="0" fillId="11" borderId="0" xfId="0" applyFill="1"/>
    <xf numFmtId="0" fontId="11" fillId="2" borderId="0" xfId="2" applyFill="1" applyAlignment="1">
      <alignment vertical="top"/>
    </xf>
    <xf numFmtId="0" fontId="11" fillId="2" borderId="0" xfId="2" applyFill="1" applyAlignment="1"/>
    <xf numFmtId="3" fontId="49" fillId="2" borderId="0" xfId="0" applyNumberFormat="1" applyFont="1" applyFill="1" applyAlignment="1">
      <alignment vertical="center"/>
    </xf>
    <xf numFmtId="172" fontId="80" fillId="7" borderId="0" xfId="0" applyNumberFormat="1" applyFont="1" applyFill="1" applyAlignment="1">
      <alignment horizontal="left"/>
    </xf>
    <xf numFmtId="0" fontId="0" fillId="2" borderId="0" xfId="0" applyFill="1" applyAlignment="1">
      <alignment horizontal="right"/>
    </xf>
    <xf numFmtId="0" fontId="0" fillId="11" borderId="0" xfId="0" applyFill="1" applyAlignment="1">
      <alignment horizontal="right"/>
    </xf>
    <xf numFmtId="171" fontId="49" fillId="2" borderId="0" xfId="0" applyNumberFormat="1" applyFont="1" applyFill="1" applyAlignment="1">
      <alignment vertical="center"/>
    </xf>
    <xf numFmtId="171" fontId="49" fillId="11" borderId="0" xfId="0" applyNumberFormat="1" applyFont="1" applyFill="1" applyAlignment="1">
      <alignment vertical="center"/>
    </xf>
    <xf numFmtId="0" fontId="80" fillId="7" borderId="0" xfId="0" applyFont="1" applyFill="1" applyAlignment="1">
      <alignment horizontal="left"/>
    </xf>
    <xf numFmtId="170" fontId="11" fillId="4" borderId="0" xfId="4" applyNumberFormat="1" applyFill="1" applyAlignment="1">
      <alignment horizontal="right" vertical="center"/>
    </xf>
    <xf numFmtId="0" fontId="52" fillId="0" borderId="0" xfId="2" applyFont="1" applyBorder="1" applyAlignment="1">
      <alignment horizontal="right" vertical="center"/>
    </xf>
    <xf numFmtId="0" fontId="12" fillId="0" borderId="0" xfId="2" applyFont="1" applyAlignment="1">
      <alignment horizontal="right" vertical="center"/>
    </xf>
    <xf numFmtId="0" fontId="12" fillId="0" borderId="0" xfId="2" applyFont="1" applyBorder="1" applyAlignment="1">
      <alignment horizontal="right" vertical="center"/>
    </xf>
    <xf numFmtId="171" fontId="49" fillId="0" borderId="0" xfId="2" applyNumberFormat="1" applyFont="1" applyFill="1" applyAlignment="1">
      <alignment horizontal="right" vertical="center"/>
    </xf>
    <xf numFmtId="171" fontId="11" fillId="27" borderId="0" xfId="2" applyNumberFormat="1" applyFill="1" applyAlignment="1">
      <alignment horizontal="right" vertical="center"/>
    </xf>
    <xf numFmtId="0" fontId="52" fillId="0" borderId="2" xfId="2" applyFont="1" applyBorder="1" applyAlignment="1">
      <alignment horizontal="right" vertical="center"/>
    </xf>
    <xf numFmtId="0" fontId="11" fillId="0" borderId="0" xfId="2" applyFont="1" applyAlignment="1">
      <alignment horizontal="center" vertical="center" wrapText="1"/>
    </xf>
    <xf numFmtId="0" fontId="52" fillId="0" borderId="0" xfId="2" applyFont="1" applyFill="1" applyBorder="1" applyAlignment="1">
      <alignment horizontal="right" vertical="center"/>
    </xf>
    <xf numFmtId="0" fontId="12" fillId="0" borderId="0" xfId="2" applyFont="1" applyFill="1" applyBorder="1" applyAlignment="1">
      <alignment horizontal="right" vertical="center"/>
    </xf>
    <xf numFmtId="171" fontId="49" fillId="0" borderId="0" xfId="2" applyNumberFormat="1" applyFont="1" applyFill="1" applyAlignment="1">
      <alignment horizontal="center" vertical="center"/>
    </xf>
    <xf numFmtId="9" fontId="49" fillId="0" borderId="0" xfId="4" applyFont="1" applyFill="1" applyAlignment="1">
      <alignment horizontal="center" vertical="center"/>
    </xf>
    <xf numFmtId="171" fontId="11" fillId="0" borderId="0" xfId="2" applyNumberFormat="1" applyFill="1" applyAlignment="1">
      <alignment horizontal="center" vertical="center"/>
    </xf>
    <xf numFmtId="0" fontId="12" fillId="0" borderId="0" xfId="2" applyFont="1" applyBorder="1" applyAlignment="1">
      <alignment horizontal="center" vertical="center"/>
    </xf>
    <xf numFmtId="0" fontId="12" fillId="0" borderId="0" xfId="2" applyFont="1" applyAlignment="1">
      <alignment horizontal="center" vertical="center" wrapText="1"/>
    </xf>
    <xf numFmtId="0" fontId="28" fillId="31" borderId="0" xfId="2" applyFont="1" applyFill="1" applyAlignment="1">
      <alignment horizontal="center" vertical="top" wrapText="1"/>
    </xf>
    <xf numFmtId="0" fontId="28" fillId="0" borderId="0" xfId="2" applyFont="1" applyFill="1" applyAlignment="1">
      <alignment horizontal="center" vertical="top" wrapText="1"/>
    </xf>
    <xf numFmtId="0" fontId="11" fillId="2" borderId="0" xfId="31" applyFill="1" applyAlignment="1">
      <alignment horizontal="right" vertical="center"/>
    </xf>
    <xf numFmtId="0" fontId="11" fillId="2" borderId="0" xfId="31" applyFill="1" applyBorder="1" applyAlignment="1">
      <alignment horizontal="right" vertical="center"/>
    </xf>
    <xf numFmtId="171" fontId="49" fillId="7" borderId="0" xfId="0" applyNumberFormat="1" applyFont="1" applyFill="1" applyAlignment="1">
      <alignment vertical="center"/>
    </xf>
    <xf numFmtId="3" fontId="49" fillId="7" borderId="0" xfId="0" applyNumberFormat="1" applyFont="1" applyFill="1" applyAlignment="1">
      <alignment vertical="center"/>
    </xf>
    <xf numFmtId="0" fontId="0" fillId="7" borderId="0" xfId="0" applyFill="1" applyAlignment="1">
      <alignment horizontal="right"/>
    </xf>
    <xf numFmtId="0" fontId="0" fillId="10" borderId="0" xfId="0" applyFill="1" applyAlignment="1">
      <alignment horizontal="right"/>
    </xf>
    <xf numFmtId="171" fontId="49" fillId="10" borderId="0" xfId="0" applyNumberFormat="1" applyFont="1" applyFill="1" applyAlignment="1">
      <alignment vertical="center"/>
    </xf>
    <xf numFmtId="9" fontId="0" fillId="7" borderId="0" xfId="4" applyFont="1" applyFill="1"/>
    <xf numFmtId="183" fontId="14" fillId="8" borderId="0" xfId="0" applyNumberFormat="1" applyFont="1" applyFill="1" applyAlignment="1">
      <alignment horizontal="right" vertical="center"/>
    </xf>
    <xf numFmtId="8" fontId="14" fillId="0" borderId="0" xfId="2" applyNumberFormat="1" applyFont="1">
      <alignment vertical="center"/>
    </xf>
    <xf numFmtId="171" fontId="49" fillId="4" borderId="0" xfId="31" applyNumberFormat="1" applyFont="1" applyFill="1" applyAlignment="1">
      <alignment vertical="center"/>
    </xf>
    <xf numFmtId="171" fontId="49" fillId="0" borderId="0" xfId="31" applyNumberFormat="1" applyFont="1" applyFill="1" applyAlignment="1">
      <alignment vertical="center"/>
    </xf>
    <xf numFmtId="183" fontId="11" fillId="4" borderId="0" xfId="31" applyNumberFormat="1" applyFill="1">
      <alignment vertical="center"/>
    </xf>
    <xf numFmtId="171" fontId="14" fillId="0" borderId="2" xfId="2" applyNumberFormat="1" applyFont="1" applyFill="1" applyBorder="1" applyAlignment="1">
      <alignment horizontal="center" vertical="center"/>
    </xf>
    <xf numFmtId="171" fontId="49" fillId="0" borderId="0" xfId="4" applyNumberFormat="1" applyFont="1" applyFill="1" applyAlignment="1">
      <alignment vertical="center"/>
    </xf>
    <xf numFmtId="172" fontId="14" fillId="0" borderId="0" xfId="10" applyNumberFormat="1" applyFont="1" applyFill="1"/>
    <xf numFmtId="9" fontId="14" fillId="0" borderId="0" xfId="4" applyFont="1" applyFill="1" applyBorder="1" applyAlignment="1"/>
    <xf numFmtId="9" fontId="0" fillId="0" borderId="0" xfId="4" applyFont="1" applyFill="1" applyAlignment="1">
      <alignment horizontal="right"/>
    </xf>
    <xf numFmtId="0" fontId="11" fillId="0" borderId="0" xfId="2" applyAlignment="1">
      <alignment vertical="center" wrapText="1"/>
    </xf>
    <xf numFmtId="0" fontId="11" fillId="0" borderId="0" xfId="2" applyFill="1" applyAlignment="1">
      <alignment horizontal="left" vertical="center" wrapText="1" indent="2"/>
    </xf>
    <xf numFmtId="171" fontId="49" fillId="0" borderId="0" xfId="2" applyNumberFormat="1" applyFont="1" applyAlignment="1">
      <alignment vertical="center"/>
    </xf>
    <xf numFmtId="0" fontId="20" fillId="0" borderId="0" xfId="2" applyFont="1" applyBorder="1" applyAlignment="1">
      <alignment horizontal="centerContinuous"/>
    </xf>
    <xf numFmtId="0" fontId="11" fillId="0" borderId="0" xfId="2" applyAlignment="1">
      <alignment vertical="center" wrapText="1"/>
    </xf>
    <xf numFmtId="0" fontId="11" fillId="0" borderId="1" xfId="31" applyBorder="1">
      <alignment vertical="center"/>
    </xf>
    <xf numFmtId="0" fontId="11" fillId="0" borderId="2" xfId="31" applyBorder="1">
      <alignment vertical="center"/>
    </xf>
    <xf numFmtId="0" fontId="12" fillId="0" borderId="0" xfId="31" applyFont="1">
      <alignment vertical="center"/>
    </xf>
    <xf numFmtId="0" fontId="0" fillId="4" borderId="0" xfId="31" applyFont="1" applyFill="1" applyBorder="1" applyAlignment="1">
      <alignment horizontal="left" vertical="center" indent="1"/>
    </xf>
    <xf numFmtId="183" fontId="20" fillId="4" borderId="0" xfId="31" applyNumberFormat="1" applyFont="1" applyFill="1" applyAlignment="1">
      <alignment horizontal="right" vertical="center"/>
    </xf>
    <xf numFmtId="0" fontId="14" fillId="4" borderId="0" xfId="31" applyFont="1" applyFill="1" applyBorder="1" applyAlignment="1">
      <alignment horizontal="left" vertical="center" indent="1"/>
    </xf>
    <xf numFmtId="170" fontId="14" fillId="4" borderId="0" xfId="4" applyNumberFormat="1" applyFont="1" applyFill="1" applyAlignment="1">
      <alignment horizontal="right" vertical="center"/>
    </xf>
    <xf numFmtId="183" fontId="12" fillId="0" borderId="0" xfId="31" applyNumberFormat="1" applyFont="1" applyFill="1">
      <alignment vertical="center"/>
    </xf>
    <xf numFmtId="0" fontId="14" fillId="3" borderId="0" xfId="12" applyFont="1" applyFill="1" applyAlignment="1">
      <alignment horizontal="left" indent="1"/>
    </xf>
    <xf numFmtId="10" fontId="14" fillId="3" borderId="0" xfId="4" applyNumberFormat="1" applyFont="1" applyFill="1" applyBorder="1" applyAlignment="1">
      <alignment horizontal="center"/>
    </xf>
    <xf numFmtId="171" fontId="14" fillId="3" borderId="0" xfId="4" applyNumberFormat="1" applyFont="1" applyFill="1" applyBorder="1" applyAlignment="1">
      <alignment horizontal="right" indent="3"/>
    </xf>
    <xf numFmtId="171" fontId="14" fillId="6" borderId="0" xfId="13" applyNumberFormat="1" applyFont="1" applyFill="1" applyAlignment="1">
      <alignment horizontal="right" wrapText="1" indent="3"/>
    </xf>
    <xf numFmtId="170" fontId="11" fillId="0" borderId="0" xfId="2" applyNumberFormat="1">
      <alignment vertical="center"/>
    </xf>
    <xf numFmtId="0" fontId="12" fillId="0" borderId="0" xfId="0" applyFont="1" applyAlignment="1">
      <alignment horizontal="left" vertical="center"/>
    </xf>
    <xf numFmtId="0" fontId="0" fillId="0" borderId="0" xfId="0" applyFill="1" applyAlignment="1">
      <alignment horizontal="left" vertical="center" wrapText="1" indent="2"/>
    </xf>
    <xf numFmtId="0" fontId="20" fillId="2" borderId="0" xfId="7" applyFont="1" applyFill="1" applyAlignment="1">
      <alignment horizontal="left" vertical="center"/>
    </xf>
    <xf numFmtId="0" fontId="11" fillId="2" borderId="0" xfId="31" applyFill="1" applyAlignment="1">
      <alignment horizontal="left" vertical="center"/>
    </xf>
    <xf numFmtId="0" fontId="12" fillId="0" borderId="0" xfId="0" applyFont="1" applyAlignment="1">
      <alignment horizontal="right" vertical="top" wrapText="1"/>
    </xf>
    <xf numFmtId="0" fontId="12" fillId="2" borderId="0" xfId="31" applyFont="1" applyFill="1">
      <alignment vertical="center"/>
    </xf>
    <xf numFmtId="172" fontId="14" fillId="0" borderId="0" xfId="12" applyNumberFormat="1" applyFont="1" applyFill="1" applyAlignment="1">
      <alignment horizontal="left" indent="2"/>
    </xf>
    <xf numFmtId="173" fontId="14" fillId="0" borderId="0" xfId="10" applyNumberFormat="1" applyFont="1" applyFill="1" applyBorder="1" applyAlignment="1">
      <alignment horizontal="left" indent="1"/>
    </xf>
    <xf numFmtId="10" fontId="49" fillId="0" borderId="0" xfId="2" applyNumberFormat="1" applyFont="1" applyFill="1" applyBorder="1" applyAlignment="1">
      <alignment vertical="center"/>
    </xf>
    <xf numFmtId="0" fontId="20" fillId="2" borderId="0" xfId="2" applyFont="1" applyFill="1" applyAlignment="1">
      <alignment horizontal="left" vertical="center"/>
    </xf>
    <xf numFmtId="0" fontId="20" fillId="2" borderId="0" xfId="2" applyFont="1" applyFill="1" applyAlignment="1">
      <alignment horizontal="right" vertical="center"/>
    </xf>
    <xf numFmtId="0" fontId="2" fillId="0" borderId="0" xfId="0" applyFont="1" applyFill="1" applyBorder="1" applyAlignment="1">
      <alignment horizontal="right" vertical="top"/>
    </xf>
    <xf numFmtId="0" fontId="0" fillId="0" borderId="0" xfId="0" applyFont="1" applyFill="1" applyAlignment="1">
      <alignment horizontal="left" indent="2"/>
    </xf>
    <xf numFmtId="0" fontId="12" fillId="2" borderId="0" xfId="0" applyFont="1" applyFill="1" applyAlignment="1">
      <alignment horizontal="left"/>
    </xf>
    <xf numFmtId="0" fontId="12" fillId="11" borderId="0" xfId="0" applyFont="1" applyFill="1"/>
    <xf numFmtId="0" fontId="102" fillId="0" borderId="0" xfId="0" applyFont="1" applyAlignment="1">
      <alignment horizontal="right"/>
    </xf>
    <xf numFmtId="178" fontId="85" fillId="0" borderId="0" xfId="0" applyNumberFormat="1" applyFont="1" applyFill="1" applyAlignment="1">
      <alignment horizontal="right"/>
    </xf>
    <xf numFmtId="175" fontId="86" fillId="0" borderId="0" xfId="3" applyNumberFormat="1" applyFont="1" applyFill="1" applyAlignment="1">
      <alignment horizontal="right"/>
    </xf>
    <xf numFmtId="10" fontId="86" fillId="0" borderId="0" xfId="0" applyNumberFormat="1" applyFont="1" applyFill="1" applyAlignment="1">
      <alignment horizontal="right"/>
    </xf>
    <xf numFmtId="14" fontId="86" fillId="0" borderId="0" xfId="2" applyNumberFormat="1" applyFont="1" applyAlignment="1">
      <alignment horizontal="center" vertical="center"/>
    </xf>
    <xf numFmtId="14" fontId="86" fillId="0" borderId="0" xfId="2" applyNumberFormat="1" applyFont="1">
      <alignment vertical="center"/>
    </xf>
    <xf numFmtId="0" fontId="86" fillId="0" borderId="0" xfId="0" applyFont="1" applyAlignment="1">
      <alignment horizontal="right"/>
    </xf>
    <xf numFmtId="171" fontId="86" fillId="0" borderId="0" xfId="0" applyNumberFormat="1" applyFont="1" applyFill="1" applyAlignment="1">
      <alignment horizontal="right"/>
    </xf>
    <xf numFmtId="172" fontId="86" fillId="0" borderId="0" xfId="0" applyNumberFormat="1" applyFont="1" applyFill="1" applyAlignment="1">
      <alignment horizontal="right"/>
    </xf>
    <xf numFmtId="0" fontId="52" fillId="0" borderId="11" xfId="0" applyFont="1" applyFill="1" applyBorder="1" applyAlignment="1">
      <alignment horizontal="left" wrapText="1" indent="4"/>
    </xf>
    <xf numFmtId="0" fontId="52" fillId="0" borderId="11" xfId="0" applyFont="1" applyFill="1" applyBorder="1" applyAlignment="1">
      <alignment horizontal="center"/>
    </xf>
    <xf numFmtId="0" fontId="75" fillId="0" borderId="11" xfId="4" applyNumberFormat="1" applyFont="1" applyFill="1" applyBorder="1" applyAlignment="1">
      <alignment vertical="center"/>
    </xf>
    <xf numFmtId="0" fontId="52" fillId="0" borderId="12" xfId="0" applyFont="1" applyFill="1" applyBorder="1" applyAlignment="1">
      <alignment horizontal="left" indent="2"/>
    </xf>
    <xf numFmtId="0" fontId="52" fillId="0" borderId="12" xfId="0" applyFont="1" applyBorder="1" applyAlignment="1">
      <alignment horizontal="center"/>
    </xf>
    <xf numFmtId="178" fontId="52" fillId="0" borderId="12" xfId="0" applyNumberFormat="1" applyFont="1" applyFill="1" applyBorder="1" applyAlignment="1">
      <alignment horizontal="right"/>
    </xf>
    <xf numFmtId="0" fontId="52" fillId="0" borderId="11" xfId="0" applyFont="1" applyFill="1" applyBorder="1" applyAlignment="1">
      <alignment vertical="center"/>
    </xf>
    <xf numFmtId="10" fontId="103" fillId="0" borderId="0" xfId="3" applyNumberFormat="1" applyFont="1" applyFill="1" applyAlignment="1">
      <alignment horizontal="left"/>
    </xf>
    <xf numFmtId="183" fontId="0" fillId="7" borderId="0" xfId="0" applyNumberFormat="1" applyFill="1" applyAlignment="1">
      <alignment horizontal="left" vertical="center"/>
    </xf>
    <xf numFmtId="183" fontId="0" fillId="2" borderId="0" xfId="0" applyNumberFormat="1" applyFill="1" applyAlignment="1">
      <alignment horizontal="left" vertical="center"/>
    </xf>
    <xf numFmtId="0" fontId="12" fillId="0" borderId="0" xfId="0" applyFont="1" applyFill="1" applyAlignment="1">
      <alignment horizontal="right"/>
    </xf>
    <xf numFmtId="0" fontId="20" fillId="0" borderId="4" xfId="7" applyFont="1" applyFill="1" applyBorder="1" applyAlignment="1">
      <alignment horizontal="center"/>
    </xf>
    <xf numFmtId="0" fontId="14" fillId="0" borderId="4" xfId="7" applyFont="1" applyFill="1" applyBorder="1" applyAlignment="1">
      <alignment horizontal="left" indent="1"/>
    </xf>
    <xf numFmtId="0" fontId="14" fillId="0" borderId="7" xfId="7" applyFont="1" applyFill="1" applyBorder="1" applyAlignment="1">
      <alignment horizontal="left" indent="1"/>
    </xf>
    <xf numFmtId="0" fontId="20" fillId="0" borderId="7" xfId="7" applyFont="1" applyFill="1" applyBorder="1" applyAlignment="1">
      <alignment horizontal="center"/>
    </xf>
    <xf numFmtId="0" fontId="20" fillId="0" borderId="6" xfId="7" applyFont="1" applyFill="1" applyBorder="1" applyAlignment="1">
      <alignment horizontal="center"/>
    </xf>
    <xf numFmtId="3" fontId="42" fillId="8" borderId="0" xfId="23" quotePrefix="1" applyNumberFormat="1" applyFont="1" applyFill="1" applyBorder="1" applyAlignment="1">
      <alignment horizontal="center" vertical="center"/>
    </xf>
    <xf numFmtId="170" fontId="14" fillId="8" borderId="0" xfId="0" applyNumberFormat="1" applyFont="1" applyFill="1" applyAlignment="1">
      <alignment horizontal="right" vertical="center" indent="3"/>
    </xf>
    <xf numFmtId="0" fontId="5" fillId="8" borderId="0" xfId="23" applyFont="1" applyFill="1" applyAlignment="1">
      <alignment horizontal="left"/>
    </xf>
    <xf numFmtId="0" fontId="5" fillId="4" borderId="0" xfId="23" quotePrefix="1" applyFont="1" applyFill="1" applyAlignment="1">
      <alignment horizontal="left"/>
    </xf>
    <xf numFmtId="171" fontId="20" fillId="32" borderId="0" xfId="12" applyNumberFormat="1" applyFont="1" applyFill="1" applyAlignment="1">
      <alignment horizontal="right" vertical="center" wrapText="1" indent="3"/>
    </xf>
    <xf numFmtId="9" fontId="89" fillId="0" borderId="0" xfId="4" applyFont="1" applyAlignment="1">
      <alignment horizontal="left" vertical="center" wrapText="1" indent="3"/>
    </xf>
    <xf numFmtId="0" fontId="89" fillId="0" borderId="0" xfId="0" applyFont="1" applyAlignment="1">
      <alignment horizontal="left" vertical="center" wrapText="1" indent="3"/>
    </xf>
    <xf numFmtId="0" fontId="11" fillId="0" borderId="0" xfId="2" applyAlignment="1">
      <alignment vertical="center" wrapText="1"/>
    </xf>
    <xf numFmtId="0" fontId="20" fillId="0" borderId="0" xfId="2" applyFont="1" applyFill="1">
      <alignment vertical="center"/>
    </xf>
    <xf numFmtId="171" fontId="28" fillId="9" borderId="0" xfId="2" applyNumberFormat="1" applyFont="1" applyFill="1" applyBorder="1" applyAlignment="1">
      <alignment vertical="center"/>
    </xf>
    <xf numFmtId="0" fontId="20" fillId="0" borderId="0" xfId="0" applyFont="1" applyFill="1"/>
    <xf numFmtId="0" fontId="0" fillId="0" borderId="0" xfId="0" applyFill="1" applyBorder="1" applyAlignment="1">
      <alignment vertical="center"/>
    </xf>
    <xf numFmtId="0" fontId="11" fillId="0" borderId="2" xfId="2" applyFill="1" applyBorder="1" applyAlignment="1">
      <alignment vertical="top"/>
    </xf>
    <xf numFmtId="0" fontId="11" fillId="0" borderId="0" xfId="2" applyFill="1" applyBorder="1" applyAlignment="1">
      <alignment vertical="top"/>
    </xf>
    <xf numFmtId="0" fontId="11" fillId="0" borderId="0" xfId="2" applyFill="1" applyAlignment="1"/>
    <xf numFmtId="178" fontId="49" fillId="2" borderId="0" xfId="0" applyNumberFormat="1" applyFont="1" applyFill="1" applyAlignment="1">
      <alignment vertical="center"/>
    </xf>
    <xf numFmtId="0" fontId="11" fillId="0" borderId="0" xfId="31" applyFill="1" applyAlignment="1">
      <alignment horizontal="left" vertical="center" indent="2"/>
    </xf>
    <xf numFmtId="0" fontId="11" fillId="0" borderId="0" xfId="31" applyFill="1" applyAlignment="1">
      <alignment horizontal="left" vertical="center" wrapText="1" indent="2"/>
    </xf>
    <xf numFmtId="0" fontId="0" fillId="0" borderId="0" xfId="31" applyFont="1" applyFill="1" applyAlignment="1">
      <alignment horizontal="left" vertical="center" wrapText="1" indent="2"/>
    </xf>
    <xf numFmtId="0" fontId="0" fillId="0" borderId="0" xfId="31" applyFont="1" applyFill="1" applyAlignment="1">
      <alignment horizontal="left" vertical="center" indent="4"/>
    </xf>
    <xf numFmtId="0" fontId="38" fillId="29" borderId="0" xfId="23" quotePrefix="1" applyFont="1" applyFill="1" applyAlignment="1">
      <alignment horizontal="left"/>
    </xf>
    <xf numFmtId="0" fontId="36" fillId="29" borderId="0" xfId="23" quotePrefix="1" applyFont="1" applyFill="1" applyAlignment="1">
      <alignment horizontal="left"/>
    </xf>
    <xf numFmtId="0" fontId="12" fillId="0" borderId="0" xfId="2" applyFont="1" applyFill="1" applyAlignment="1">
      <alignment horizontal="left" vertical="center" indent="2"/>
    </xf>
    <xf numFmtId="0" fontId="11" fillId="0" borderId="0" xfId="2" applyFill="1" applyAlignment="1">
      <alignment horizontal="left" vertical="center" indent="4"/>
    </xf>
    <xf numFmtId="0" fontId="11" fillId="11" borderId="0" xfId="2" applyFill="1" applyAlignment="1">
      <alignment vertical="center" wrapText="1"/>
    </xf>
    <xf numFmtId="0" fontId="11" fillId="11" borderId="0" xfId="2" applyFill="1" applyBorder="1" applyAlignment="1">
      <alignment horizontal="left" vertical="center" indent="2"/>
    </xf>
    <xf numFmtId="190" fontId="0" fillId="4" borderId="0" xfId="0" applyNumberFormat="1" applyFill="1" applyAlignment="1">
      <alignment horizontal="right" vertical="center"/>
    </xf>
    <xf numFmtId="190" fontId="11" fillId="4" borderId="0" xfId="31" applyNumberFormat="1" applyFill="1" applyAlignment="1">
      <alignment horizontal="right" vertical="center"/>
    </xf>
    <xf numFmtId="0" fontId="11" fillId="2" borderId="0" xfId="2" applyFill="1" applyBorder="1" applyAlignment="1">
      <alignment horizontal="left" vertical="center" indent="2"/>
    </xf>
    <xf numFmtId="9" fontId="14" fillId="0" borderId="0" xfId="4" applyFont="1" applyFill="1" applyAlignment="1">
      <alignment vertical="center"/>
    </xf>
    <xf numFmtId="14" fontId="49" fillId="0" borderId="0" xfId="0" applyNumberFormat="1" applyFont="1" applyFill="1" applyAlignment="1">
      <alignment vertical="center"/>
    </xf>
    <xf numFmtId="0" fontId="0" fillId="0" borderId="0" xfId="0" applyFill="1" applyAlignment="1"/>
    <xf numFmtId="3" fontId="49" fillId="0" borderId="0" xfId="0" applyNumberFormat="1" applyFont="1" applyFill="1" applyBorder="1" applyAlignment="1">
      <alignment horizontal="left" vertical="center" indent="2"/>
    </xf>
    <xf numFmtId="4" fontId="14" fillId="0" borderId="0" xfId="2" applyNumberFormat="1" applyFont="1" applyFill="1" applyAlignment="1">
      <alignment vertical="center" wrapText="1"/>
    </xf>
    <xf numFmtId="0" fontId="17" fillId="0" borderId="0" xfId="5" applyFill="1" applyAlignment="1">
      <alignment vertical="center"/>
    </xf>
    <xf numFmtId="0" fontId="0" fillId="0" borderId="0" xfId="2" applyFont="1" applyFill="1" applyAlignment="1">
      <alignment horizontal="left" vertical="center" wrapText="1" indent="4"/>
    </xf>
    <xf numFmtId="0" fontId="52" fillId="0" borderId="11" xfId="2" applyFont="1" applyBorder="1" applyAlignment="1">
      <alignment horizontal="left" vertical="center" wrapText="1" indent="2"/>
    </xf>
    <xf numFmtId="0" fontId="0" fillId="0" borderId="0" xfId="2" applyFont="1" applyFill="1" applyAlignment="1">
      <alignment horizontal="left" vertical="center" wrapText="1" indent="4"/>
    </xf>
    <xf numFmtId="0" fontId="11" fillId="0" borderId="0" xfId="2" applyFill="1" applyAlignment="1">
      <alignment horizontal="left" vertical="center" wrapText="1" indent="2"/>
    </xf>
    <xf numFmtId="170" fontId="11" fillId="8" borderId="0" xfId="4" applyNumberFormat="1" applyFill="1" applyAlignment="1">
      <alignment horizontal="right" vertical="center"/>
    </xf>
    <xf numFmtId="170" fontId="0" fillId="8" borderId="0" xfId="4" applyNumberFormat="1" applyFont="1" applyFill="1" applyAlignment="1">
      <alignment horizontal="right" vertical="center"/>
    </xf>
    <xf numFmtId="9" fontId="0" fillId="10" borderId="0" xfId="4" applyFont="1" applyFill="1"/>
    <xf numFmtId="0" fontId="0" fillId="7" borderId="0" xfId="0" applyFill="1" applyAlignment="1"/>
    <xf numFmtId="178" fontId="49" fillId="7" borderId="0" xfId="0" applyNumberFormat="1" applyFont="1" applyFill="1" applyAlignment="1">
      <alignment vertical="center"/>
    </xf>
    <xf numFmtId="0" fontId="1" fillId="4" borderId="0" xfId="23" applyFont="1" applyFill="1" applyAlignment="1">
      <alignment horizontal="left"/>
    </xf>
    <xf numFmtId="173" fontId="14" fillId="8" borderId="0" xfId="10" applyNumberFormat="1" applyFont="1" applyFill="1" applyBorder="1" applyAlignment="1">
      <alignment horizontal="right" wrapText="1" indent="7"/>
    </xf>
    <xf numFmtId="14" fontId="86" fillId="0" borderId="0" xfId="0" applyNumberFormat="1" applyFont="1" applyAlignment="1">
      <alignment vertical="center"/>
    </xf>
    <xf numFmtId="171" fontId="20" fillId="29" borderId="0" xfId="12" applyNumberFormat="1" applyFont="1" applyFill="1" applyAlignment="1">
      <alignment horizontal="right" vertical="center" wrapText="1" indent="2"/>
    </xf>
    <xf numFmtId="0" fontId="0" fillId="0" borderId="0" xfId="2" applyFont="1" applyFill="1" applyAlignment="1">
      <alignment horizontal="left" vertical="center" indent="4"/>
    </xf>
    <xf numFmtId="0" fontId="0" fillId="0" borderId="0" xfId="0" applyFill="1" applyAlignment="1">
      <alignment horizontal="left" vertical="center" wrapText="1" indent="2"/>
    </xf>
    <xf numFmtId="0" fontId="11" fillId="0" borderId="0" xfId="2" applyFill="1" applyAlignment="1">
      <alignment horizontal="left" vertical="center" wrapText="1" indent="2"/>
    </xf>
    <xf numFmtId="173" fontId="20" fillId="8" borderId="0" xfId="10" applyNumberFormat="1" applyFont="1" applyFill="1" applyBorder="1" applyAlignment="1">
      <alignment horizontal="right" wrapText="1" indent="5"/>
    </xf>
    <xf numFmtId="0" fontId="0" fillId="0" borderId="0" xfId="0" applyFont="1" applyFill="1" applyAlignment="1">
      <alignment wrapText="1"/>
    </xf>
    <xf numFmtId="0" fontId="0" fillId="0" borderId="0" xfId="0" applyFill="1" applyAlignment="1">
      <alignment horizontal="left" wrapText="1" indent="2"/>
    </xf>
    <xf numFmtId="178" fontId="14" fillId="0" borderId="0" xfId="2" applyNumberFormat="1" applyFont="1" applyFill="1">
      <alignment vertical="center"/>
    </xf>
    <xf numFmtId="180" fontId="49" fillId="0" borderId="0" xfId="0" applyNumberFormat="1" applyFont="1" applyFill="1" applyAlignment="1">
      <alignment vertical="center"/>
    </xf>
    <xf numFmtId="0" fontId="0" fillId="0" borderId="0" xfId="0" applyFont="1" applyFill="1" applyAlignment="1"/>
    <xf numFmtId="0" fontId="0" fillId="0" borderId="0" xfId="2" applyFont="1" applyFill="1" applyAlignment="1">
      <alignment horizontal="left" vertical="center" indent="2"/>
    </xf>
    <xf numFmtId="0" fontId="49" fillId="0" borderId="0" xfId="10" applyNumberFormat="1" applyFont="1" applyFill="1" applyBorder="1" applyAlignment="1">
      <alignment horizontal="left"/>
    </xf>
    <xf numFmtId="0" fontId="20" fillId="0" borderId="0" xfId="2" applyFont="1" applyFill="1">
      <alignment vertical="center"/>
    </xf>
    <xf numFmtId="0" fontId="11" fillId="0" borderId="0" xfId="2" applyFill="1" applyAlignment="1">
      <alignment horizontal="left" vertical="center" wrapText="1" indent="2"/>
    </xf>
    <xf numFmtId="0" fontId="0" fillId="0" borderId="0" xfId="25" applyFont="1" applyFill="1" applyAlignment="1">
      <alignment horizontal="left" vertical="distributed" wrapText="1" indent="2"/>
    </xf>
    <xf numFmtId="0" fontId="89" fillId="0" borderId="0" xfId="0" applyFont="1" applyAlignment="1">
      <alignment horizontal="left" vertical="center" wrapText="1" indent="3"/>
    </xf>
    <xf numFmtId="0" fontId="0" fillId="0" borderId="0" xfId="2" applyFont="1" applyAlignment="1">
      <alignment horizontal="left" vertical="center" wrapText="1" indent="2"/>
    </xf>
    <xf numFmtId="9" fontId="89" fillId="0" borderId="0" xfId="4" applyFont="1" applyAlignment="1">
      <alignment horizontal="left" vertical="center" wrapText="1" indent="3"/>
    </xf>
    <xf numFmtId="0" fontId="0" fillId="0" borderId="0" xfId="2" applyFont="1" applyFill="1" applyAlignment="1">
      <alignment horizontal="left" vertical="center" wrapText="1" indent="2"/>
    </xf>
    <xf numFmtId="0" fontId="0" fillId="0" borderId="0" xfId="0" applyFill="1" applyAlignment="1">
      <alignment horizontal="left" vertical="center" wrapText="1" indent="2"/>
    </xf>
    <xf numFmtId="0" fontId="0" fillId="0" borderId="0" xfId="0" applyFill="1" applyAlignment="1">
      <alignment horizontal="left" wrapText="1" indent="2"/>
    </xf>
    <xf numFmtId="183" fontId="12" fillId="4" borderId="0" xfId="31" applyNumberFormat="1" applyFont="1" applyFill="1">
      <alignment vertical="center"/>
    </xf>
    <xf numFmtId="183" fontId="12" fillId="0" borderId="0" xfId="31" applyNumberFormat="1" applyFont="1" applyFill="1">
      <alignment vertical="center"/>
    </xf>
    <xf numFmtId="0" fontId="20" fillId="0" borderId="2" xfId="0" applyFont="1" applyFill="1" applyBorder="1" applyAlignment="1">
      <alignment horizontal="center"/>
    </xf>
    <xf numFmtId="0" fontId="20" fillId="0" borderId="2" xfId="0" applyFont="1" applyFill="1" applyBorder="1" applyAlignment="1">
      <alignment horizontal="center" wrapText="1"/>
    </xf>
    <xf numFmtId="0" fontId="20" fillId="2" borderId="0" xfId="7" applyFont="1" applyFill="1" applyAlignment="1">
      <alignment horizontal="left" vertical="center"/>
    </xf>
    <xf numFmtId="0" fontId="20" fillId="2" borderId="0" xfId="10" applyFont="1" applyFill="1" applyAlignment="1">
      <alignment horizontal="left"/>
    </xf>
    <xf numFmtId="0" fontId="28" fillId="31" borderId="0" xfId="2" applyFont="1" applyFill="1" applyAlignment="1">
      <alignment horizontal="center" vertical="top" wrapText="1"/>
    </xf>
    <xf numFmtId="0" fontId="11" fillId="0" borderId="0" xfId="2" applyFont="1" applyAlignment="1">
      <alignment horizontal="center" vertical="center" wrapText="1"/>
    </xf>
    <xf numFmtId="0" fontId="0" fillId="0" borderId="0" xfId="2" applyFont="1" applyAlignment="1">
      <alignment vertical="center" wrapText="1"/>
    </xf>
    <xf numFmtId="0" fontId="11" fillId="0" borderId="0" xfId="2" applyAlignment="1">
      <alignment vertical="center" wrapText="1"/>
    </xf>
    <xf numFmtId="171" fontId="14" fillId="0" borderId="2" xfId="2" applyNumberFormat="1" applyFont="1" applyFill="1" applyBorder="1" applyAlignment="1">
      <alignment horizontal="center" vertical="center"/>
    </xf>
    <xf numFmtId="171" fontId="14" fillId="0" borderId="0" xfId="2" applyNumberFormat="1" applyFont="1" applyFill="1" applyBorder="1" applyAlignment="1">
      <alignment horizontal="center" vertical="center"/>
    </xf>
    <xf numFmtId="0" fontId="20" fillId="0" borderId="0" xfId="2" applyFont="1" applyFill="1" applyAlignment="1">
      <alignment vertical="center" wrapText="1"/>
    </xf>
    <xf numFmtId="0" fontId="12" fillId="0" borderId="0" xfId="2" applyFont="1" applyFill="1" applyBorder="1" applyAlignment="1">
      <alignment horizontal="center"/>
    </xf>
    <xf numFmtId="0" fontId="14" fillId="0" borderId="0" xfId="2" applyFont="1" applyFill="1" applyBorder="1" applyAlignment="1">
      <alignment horizontal="right" vertical="center" wrapText="1"/>
    </xf>
    <xf numFmtId="0" fontId="50" fillId="0" borderId="0" xfId="2" applyNumberFormat="1" applyFont="1" applyFill="1" applyBorder="1" applyAlignment="1">
      <alignment horizontal="left" vertical="center"/>
    </xf>
    <xf numFmtId="0" fontId="20" fillId="0" borderId="0" xfId="2" applyFont="1" applyFill="1">
      <alignment vertical="center"/>
    </xf>
    <xf numFmtId="9" fontId="20" fillId="0" borderId="0" xfId="4" applyFont="1" applyFill="1" applyAlignment="1">
      <alignment vertical="center" wrapText="1"/>
    </xf>
    <xf numFmtId="0" fontId="0" fillId="0" borderId="0" xfId="0" applyFill="1" applyAlignment="1">
      <alignment horizontal="left" vertical="top" wrapText="1" indent="2"/>
    </xf>
    <xf numFmtId="0" fontId="0" fillId="0" borderId="2" xfId="0" applyBorder="1" applyAlignment="1">
      <alignment horizontal="center" vertical="center"/>
    </xf>
    <xf numFmtId="0" fontId="11" fillId="0" borderId="0" xfId="2" applyFill="1" applyAlignment="1">
      <alignment horizontal="left" vertical="center" wrapText="1" indent="2"/>
    </xf>
    <xf numFmtId="0" fontId="12" fillId="0" borderId="2" xfId="2" applyFont="1" applyBorder="1" applyAlignment="1">
      <alignment horizontal="center" vertical="center"/>
    </xf>
    <xf numFmtId="0" fontId="20" fillId="0" borderId="4" xfId="7" applyFont="1" applyBorder="1" applyAlignment="1">
      <alignment horizontal="center" wrapText="1"/>
    </xf>
    <xf numFmtId="0" fontId="20" fillId="0" borderId="2" xfId="7" applyFont="1" applyBorder="1" applyAlignment="1">
      <alignment horizontal="center" wrapText="1"/>
    </xf>
    <xf numFmtId="0" fontId="20" fillId="0" borderId="5" xfId="7" applyFont="1" applyBorder="1" applyAlignment="1">
      <alignment horizontal="center" wrapText="1"/>
    </xf>
    <xf numFmtId="0" fontId="20" fillId="0" borderId="7" xfId="7" applyFont="1" applyBorder="1" applyAlignment="1">
      <alignment horizontal="center" wrapText="1"/>
    </xf>
    <xf numFmtId="0" fontId="20" fillId="0" borderId="0" xfId="7" applyFont="1" applyAlignment="1">
      <alignment horizontal="center" wrapText="1"/>
    </xf>
    <xf numFmtId="0" fontId="20" fillId="0" borderId="6" xfId="7" applyFont="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indent="2"/>
    </xf>
    <xf numFmtId="10" fontId="85" fillId="0" borderId="0" xfId="4" applyNumberFormat="1" applyFont="1" applyFill="1"/>
    <xf numFmtId="10" fontId="85" fillId="0" borderId="0" xfId="4" applyNumberFormat="1" applyFont="1" applyFill="1" applyAlignment="1">
      <alignment horizontal="right"/>
    </xf>
    <xf numFmtId="10" fontId="85" fillId="0" borderId="0" xfId="4" applyNumberFormat="1" applyFont="1"/>
    <xf numFmtId="9" fontId="0" fillId="0" borderId="0" xfId="4" applyNumberFormat="1" applyFont="1" applyFill="1" applyAlignment="1">
      <alignment horizontal="right"/>
    </xf>
    <xf numFmtId="9" fontId="0" fillId="0" borderId="0" xfId="4" applyNumberFormat="1" applyFont="1" applyFill="1" applyAlignment="1">
      <alignment horizontal="right" vertical="center"/>
    </xf>
    <xf numFmtId="0" fontId="52" fillId="0" borderId="1" xfId="2" applyFont="1" applyBorder="1" applyAlignment="1">
      <alignment horizontal="center" vertical="center"/>
    </xf>
    <xf numFmtId="0" fontId="52" fillId="0" borderId="1" xfId="2" applyFont="1" applyFill="1" applyBorder="1">
      <alignment vertical="center"/>
    </xf>
    <xf numFmtId="10" fontId="14" fillId="0" borderId="0" xfId="12" quotePrefix="1" applyNumberFormat="1" applyFont="1" applyFill="1" applyAlignment="1">
      <alignment horizontal="center"/>
    </xf>
    <xf numFmtId="0" fontId="85" fillId="0" borderId="0" xfId="0" applyFont="1"/>
    <xf numFmtId="0" fontId="85" fillId="0" borderId="0" xfId="0" applyFont="1" applyFill="1"/>
    <xf numFmtId="0" fontId="0" fillId="0" borderId="0" xfId="31" applyFont="1" applyAlignment="1">
      <alignment horizontal="right" vertical="center"/>
    </xf>
  </cellXfs>
  <cellStyles count="37">
    <cellStyle name="20% - Accent1 3" xfId="28" xr:uid="{A39DAA78-B1BC-44E1-AD09-6A579D765489}"/>
    <cellStyle name="20% - Accent3 2 2" xfId="29" xr:uid="{CC09E1B6-E784-4C8D-8DE4-03B2C10A6D39}"/>
    <cellStyle name="60% - Accent5 4" xfId="30" xr:uid="{1C87B775-8EE0-461C-96E6-2B01C025CFCF}"/>
    <cellStyle name="AFE" xfId="14" xr:uid="{CDC9C9CF-1B94-46A3-8531-263A9F37D25B}"/>
    <cellStyle name="Comma" xfId="24" builtinId="3"/>
    <cellStyle name="Comma 2 20" xfId="17" xr:uid="{A7E79566-7174-4FCF-B7DE-5EEF1C1435D7}"/>
    <cellStyle name="Comma 2 6 6" xfId="16" xr:uid="{573A2286-523D-4527-A3BD-3CD260631704}"/>
    <cellStyle name="Currency" xfId="27" builtinId="4"/>
    <cellStyle name="Currency 11" xfId="19" xr:uid="{3E283FCF-B85A-48DD-BA49-D920BC625AB5}"/>
    <cellStyle name="Hyperlink" xfId="5" builtinId="8"/>
    <cellStyle name="Normal" xfId="0" builtinId="0"/>
    <cellStyle name="Normal 10" xfId="7" xr:uid="{4D63E32E-3557-462B-8D76-B8635022AA6F}"/>
    <cellStyle name="Normal 11" xfId="20" xr:uid="{BE890492-2952-4559-A7C6-87858D78C0C3}"/>
    <cellStyle name="Normal 14" xfId="26" xr:uid="{A9EE7552-4140-4AC7-B8B2-2FA67279F7AD}"/>
    <cellStyle name="Normal 19" xfId="10" xr:uid="{376761C6-C1AA-414E-B69D-D6514A90F5C2}"/>
    <cellStyle name="Normal 2" xfId="2" xr:uid="{81A9B46C-D839-43E1-816B-7F462A037D78}"/>
    <cellStyle name="Normal 2 2" xfId="32" xr:uid="{39136029-60AC-46E3-9B8C-95D2098F07E2}"/>
    <cellStyle name="Normal 24" xfId="23" xr:uid="{1CF8BAEC-05DC-4E9F-AB30-73D2DD135F9C}"/>
    <cellStyle name="Normal 24 2" xfId="36" xr:uid="{58CA20D4-E4CF-4349-984A-57D0CE2A2F68}"/>
    <cellStyle name="Normal 25" xfId="8" xr:uid="{5B9F1565-A777-4137-A598-279FEBB03714}"/>
    <cellStyle name="Normal 27" xfId="33" xr:uid="{2F2327C1-A1E1-4F5F-8C65-F9361CE6EF9D}"/>
    <cellStyle name="Normal 3" xfId="1" xr:uid="{2DABA722-29E3-4093-87D5-6F6847D10891}"/>
    <cellStyle name="Normal 32" xfId="34" xr:uid="{65C08EBC-D2CD-466E-A845-8D775FBCC418}"/>
    <cellStyle name="Normal 35" xfId="22" xr:uid="{46F9BD17-1127-455D-86BB-FF5D93AF0BB9}"/>
    <cellStyle name="Normal 4" xfId="25" xr:uid="{1996E69B-279D-41F8-930D-AD2442476677}"/>
    <cellStyle name="Normal 44" xfId="21" xr:uid="{885EC028-608F-4AA6-9E7B-2BEF83A5A20F}"/>
    <cellStyle name="Normal 5" xfId="31" xr:uid="{5C8087A8-3419-471F-A248-550D5299BE5C}"/>
    <cellStyle name="Normal 7" xfId="6" xr:uid="{57C98FDA-412A-48BE-9357-A6E79ABE9814}"/>
    <cellStyle name="Normal_Appendix 1 - LMS100 PA" xfId="13" xr:uid="{89EF0F70-7473-443A-910D-B9DE9949B474}"/>
    <cellStyle name="Normal_AWC Wind Levelized Cost_test 2" xfId="3" xr:uid="{716E6690-4DA9-4C45-836F-FB0DD44281E5}"/>
    <cellStyle name="Normal_Cost_to_Start1" xfId="11" xr:uid="{A060FB14-9C5B-4DD4-9589-D5B797FA1AE2}"/>
    <cellStyle name="Normal_S&amp;L Demand Curve cases 11-11-10_inputs to NERA for rept_" xfId="12" xr:uid="{7D49224B-6772-4899-8813-7BA6231D82C3}"/>
    <cellStyle name="Percent" xfId="4" builtinId="5"/>
    <cellStyle name="Percent 10 2" xfId="9" xr:uid="{3D7DDC29-FED0-413A-B345-460DF352C54F}"/>
    <cellStyle name="Percent 16" xfId="15" xr:uid="{4636F634-815C-4477-8607-F5A314DA5D43}"/>
    <cellStyle name="Percent 2 21" xfId="18" xr:uid="{7317FFA4-6289-491B-AF82-947ABD5E9C2A}"/>
    <cellStyle name="Percent 20" xfId="35" xr:uid="{F50D8EFC-75AB-4EC2-94AC-FDE6EE8BC4D8}"/>
  </cellStyles>
  <dxfs count="49">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22"/>
      </font>
    </dxf>
    <dxf>
      <font>
        <condense val="0"/>
        <extend val="0"/>
        <color indexed="22"/>
      </font>
    </dxf>
    <dxf>
      <font>
        <condense val="0"/>
        <extend val="0"/>
        <color indexed="22"/>
      </font>
    </dxf>
    <dxf>
      <font>
        <condense val="0"/>
        <extend val="0"/>
        <color indexed="2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B3DDFF"/>
      <color rgb="FF004080"/>
      <color rgb="FFEBEBE7"/>
      <color rgb="FFF2F2F2"/>
      <color rgb="FF002B54"/>
      <color rgb="FFCBE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Revenue Requirement ($/kW-year)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8645868625138"/>
          <c:y val="0.18097222222222226"/>
          <c:w val="0.85855799244138398"/>
          <c:h val="0.72088764946048411"/>
        </c:manualLayout>
      </c:layout>
      <c:lineChart>
        <c:grouping val="standard"/>
        <c:varyColors val="0"/>
        <c:ser>
          <c:idx val="0"/>
          <c:order val="0"/>
          <c:spPr>
            <a:ln w="28575" cap="rnd">
              <a:solidFill>
                <a:schemeClr val="accent1"/>
              </a:solidFill>
              <a:round/>
            </a:ln>
            <a:effectLst/>
          </c:spPr>
          <c:marker>
            <c:symbol val="none"/>
          </c:marker>
          <c:val>
            <c:numRef>
              <c:f>'Reservation Price'!$I$66:$AB$66</c:f>
              <c:numCache>
                <c:formatCode>0</c:formatCode>
                <c:ptCount val="20"/>
                <c:pt idx="0">
                  <c:v>296.89079696030188</c:v>
                </c:pt>
                <c:pt idx="1">
                  <c:v>296.89079696030188</c:v>
                </c:pt>
                <c:pt idx="2">
                  <c:v>296.89079696030188</c:v>
                </c:pt>
                <c:pt idx="3">
                  <c:v>296.89079696030188</c:v>
                </c:pt>
                <c:pt idx="4">
                  <c:v>296.89079696030188</c:v>
                </c:pt>
                <c:pt idx="5">
                  <c:v>296.89079696030188</c:v>
                </c:pt>
                <c:pt idx="6">
                  <c:v>296.89079696030188</c:v>
                </c:pt>
                <c:pt idx="7">
                  <c:v>296.89079696030188</c:v>
                </c:pt>
                <c:pt idx="8">
                  <c:v>296.89079696030188</c:v>
                </c:pt>
                <c:pt idx="9">
                  <c:v>296.89079696030188</c:v>
                </c:pt>
                <c:pt idx="10">
                  <c:v>296.89079696030188</c:v>
                </c:pt>
                <c:pt idx="11">
                  <c:v>296.89079696030188</c:v>
                </c:pt>
                <c:pt idx="12">
                  <c:v>296.89079696030188</c:v>
                </c:pt>
                <c:pt idx="13">
                  <c:v>296.89079696030188</c:v>
                </c:pt>
                <c:pt idx="14">
                  <c:v>296.89079696030188</c:v>
                </c:pt>
                <c:pt idx="15">
                  <c:v>296.89079696030188</c:v>
                </c:pt>
                <c:pt idx="16">
                  <c:v>296.89079696030188</c:v>
                </c:pt>
                <c:pt idx="17">
                  <c:v>296.89079696030188</c:v>
                </c:pt>
                <c:pt idx="18">
                  <c:v>296.89079696030188</c:v>
                </c:pt>
                <c:pt idx="19">
                  <c:v>296.89079696030188</c:v>
                </c:pt>
              </c:numCache>
            </c:numRef>
          </c:val>
          <c:smooth val="0"/>
          <c:extLst>
            <c:ext xmlns:c16="http://schemas.microsoft.com/office/drawing/2014/chart" uri="{C3380CC4-5D6E-409C-BE32-E72D297353CC}">
              <c16:uniqueId val="{00000000-4184-48D1-931A-D60460617C65}"/>
            </c:ext>
          </c:extLst>
        </c:ser>
        <c:ser>
          <c:idx val="1"/>
          <c:order val="1"/>
          <c:spPr>
            <a:ln w="28575" cap="rnd">
              <a:solidFill>
                <a:schemeClr val="accent2"/>
              </a:solidFill>
              <a:round/>
            </a:ln>
            <a:effectLst/>
          </c:spPr>
          <c:marker>
            <c:symbol val="none"/>
          </c:marker>
          <c:val>
            <c:numRef>
              <c:f>'Reservation Price'!$I$69:$AB$69</c:f>
              <c:numCache>
                <c:formatCode>"$"#,##0</c:formatCode>
                <c:ptCount val="20"/>
                <c:pt idx="0">
                  <c:v>429.90629685024368</c:v>
                </c:pt>
                <c:pt idx="1">
                  <c:v>429.90629685024368</c:v>
                </c:pt>
                <c:pt idx="2">
                  <c:v>429.90629685024368</c:v>
                </c:pt>
                <c:pt idx="3">
                  <c:v>239.04043193335798</c:v>
                </c:pt>
                <c:pt idx="4">
                  <c:v>239.04043193335798</c:v>
                </c:pt>
                <c:pt idx="5">
                  <c:v>239.04043193335798</c:v>
                </c:pt>
                <c:pt idx="6">
                  <c:v>239.04043193335798</c:v>
                </c:pt>
                <c:pt idx="7">
                  <c:v>239.04043193335798</c:v>
                </c:pt>
                <c:pt idx="8">
                  <c:v>239.04043193335798</c:v>
                </c:pt>
                <c:pt idx="9">
                  <c:v>239.04043193335798</c:v>
                </c:pt>
                <c:pt idx="10">
                  <c:v>239.04043193335798</c:v>
                </c:pt>
                <c:pt idx="11">
                  <c:v>239.04043193335798</c:v>
                </c:pt>
                <c:pt idx="12">
                  <c:v>239.04043193335798</c:v>
                </c:pt>
                <c:pt idx="13">
                  <c:v>239.04043193335798</c:v>
                </c:pt>
                <c:pt idx="14">
                  <c:v>239.04043193335798</c:v>
                </c:pt>
                <c:pt idx="15">
                  <c:v>239.04043193335798</c:v>
                </c:pt>
                <c:pt idx="16">
                  <c:v>239.04043193335798</c:v>
                </c:pt>
                <c:pt idx="17">
                  <c:v>239.04043193335798</c:v>
                </c:pt>
                <c:pt idx="18">
                  <c:v>239.04043193335798</c:v>
                </c:pt>
                <c:pt idx="19">
                  <c:v>239.04043193335798</c:v>
                </c:pt>
              </c:numCache>
            </c:numRef>
          </c:val>
          <c:smooth val="0"/>
          <c:extLst>
            <c:ext xmlns:c16="http://schemas.microsoft.com/office/drawing/2014/chart" uri="{C3380CC4-5D6E-409C-BE32-E72D297353CC}">
              <c16:uniqueId val="{00000001-4184-48D1-931A-D60460617C65}"/>
            </c:ext>
          </c:extLst>
        </c:ser>
        <c:dLbls>
          <c:showLegendKey val="0"/>
          <c:showVal val="0"/>
          <c:showCatName val="0"/>
          <c:showSerName val="0"/>
          <c:showPercent val="0"/>
          <c:showBubbleSize val="0"/>
        </c:dLbls>
        <c:smooth val="0"/>
        <c:axId val="695873471"/>
        <c:axId val="695902271"/>
      </c:lineChart>
      <c:catAx>
        <c:axId val="69587347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902271"/>
        <c:crosses val="autoZero"/>
        <c:auto val="1"/>
        <c:lblAlgn val="ctr"/>
        <c:lblOffset val="100"/>
        <c:noMultiLvlLbl val="0"/>
      </c:catAx>
      <c:valAx>
        <c:axId val="695902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873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0000"/>
                </a:solidFill>
                <a:latin typeface="+mn-lt"/>
                <a:ea typeface="+mn-ea"/>
                <a:cs typeface="+mn-cs"/>
              </a:defRPr>
            </a:pPr>
            <a:r>
              <a:rPr lang="en-US" sz="1800" b="0">
                <a:solidFill>
                  <a:srgbClr val="000000"/>
                </a:solidFill>
              </a:rPr>
              <a:t>Gross Capacity</a:t>
            </a:r>
            <a:r>
              <a:rPr lang="en-US" sz="1800" b="0" baseline="0">
                <a:solidFill>
                  <a:srgbClr val="000000"/>
                </a:solidFill>
              </a:rPr>
              <a:t> at POI</a:t>
            </a:r>
            <a:endParaRPr lang="en-US" sz="1800" b="0">
              <a:solidFill>
                <a:srgbClr val="000000"/>
              </a:solidFill>
            </a:endParaRPr>
          </a:p>
        </c:rich>
      </c:tx>
      <c:layout>
        <c:manualLayout>
          <c:xMode val="edge"/>
          <c:yMode val="edge"/>
          <c:x val="1.3391109175920939E-2"/>
          <c:y val="1.692747642648976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000000"/>
              </a:solidFill>
              <a:latin typeface="+mn-lt"/>
              <a:ea typeface="+mn-ea"/>
              <a:cs typeface="+mn-cs"/>
            </a:defRPr>
          </a:pPr>
          <a:endParaRPr lang="en-US"/>
        </a:p>
      </c:txPr>
    </c:title>
    <c:autoTitleDeleted val="0"/>
    <c:plotArea>
      <c:layout>
        <c:manualLayout>
          <c:layoutTarget val="inner"/>
          <c:xMode val="edge"/>
          <c:yMode val="edge"/>
          <c:x val="0.10655079239315024"/>
          <c:y val="0.12560187508455409"/>
          <c:w val="0.69440616270271593"/>
          <c:h val="0.70916729478267182"/>
        </c:manualLayout>
      </c:layout>
      <c:barChart>
        <c:barDir val="col"/>
        <c:grouping val="stacked"/>
        <c:varyColors val="0"/>
        <c:ser>
          <c:idx val="2"/>
          <c:order val="0"/>
          <c:tx>
            <c:strRef>
              <c:f>'S&amp;L Augmentation Details'!$F$7</c:f>
              <c:strCache>
                <c:ptCount val="1"/>
                <c:pt idx="0">
                  <c:v>Initial Installation</c:v>
                </c:pt>
              </c:strCache>
            </c:strRef>
          </c:tx>
          <c:spPr>
            <a:solidFill>
              <a:srgbClr val="1B3D6F"/>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Details'!$F$11:$F$31</c:f>
              <c:numCache>
                <c:formatCode>#,##0.00</c:formatCode>
                <c:ptCount val="21"/>
                <c:pt idx="0">
                  <c:v>894.23822726370008</c:v>
                </c:pt>
                <c:pt idx="1">
                  <c:v>853.08433465102257</c:v>
                </c:pt>
                <c:pt idx="2">
                  <c:v>832.05811004105203</c:v>
                </c:pt>
                <c:pt idx="3">
                  <c:v>818.57976093209641</c:v>
                </c:pt>
                <c:pt idx="4">
                  <c:v>805.10141182314101</c:v>
                </c:pt>
                <c:pt idx="5">
                  <c:v>791.62306271418549</c:v>
                </c:pt>
                <c:pt idx="6">
                  <c:v>778.14471360522987</c:v>
                </c:pt>
                <c:pt idx="7">
                  <c:v>764.66636449627447</c:v>
                </c:pt>
                <c:pt idx="8">
                  <c:v>751.18801538731884</c:v>
                </c:pt>
                <c:pt idx="9">
                  <c:v>737.70966627836333</c:v>
                </c:pt>
                <c:pt idx="10">
                  <c:v>724.23131716940793</c:v>
                </c:pt>
                <c:pt idx="11">
                  <c:v>710.7529680604523</c:v>
                </c:pt>
                <c:pt idx="12">
                  <c:v>697.2746189514969</c:v>
                </c:pt>
                <c:pt idx="13">
                  <c:v>683.79626984254139</c:v>
                </c:pt>
                <c:pt idx="14">
                  <c:v>670.31792073358577</c:v>
                </c:pt>
                <c:pt idx="15">
                  <c:v>656.83957162463037</c:v>
                </c:pt>
                <c:pt idx="16">
                  <c:v>643.36122251567485</c:v>
                </c:pt>
                <c:pt idx="17">
                  <c:v>629.88287340671934</c:v>
                </c:pt>
                <c:pt idx="18">
                  <c:v>616.40452429776371</c:v>
                </c:pt>
                <c:pt idx="19">
                  <c:v>602.92617518880832</c:v>
                </c:pt>
                <c:pt idx="20">
                  <c:v>589.4478260798528</c:v>
                </c:pt>
              </c:numCache>
            </c:numRef>
          </c:val>
          <c:extLst>
            <c:ext xmlns:c16="http://schemas.microsoft.com/office/drawing/2014/chart" uri="{C3380CC4-5D6E-409C-BE32-E72D297353CC}">
              <c16:uniqueId val="{00000000-6A2D-48B4-BC05-1B85596883CB}"/>
            </c:ext>
          </c:extLst>
        </c:ser>
        <c:ser>
          <c:idx val="3"/>
          <c:order val="1"/>
          <c:tx>
            <c:strRef>
              <c:f>'S&amp;L Augmentation Details'!$G$7</c:f>
              <c:strCache>
                <c:ptCount val="1"/>
                <c:pt idx="0">
                  <c:v>1st Augmentation</c:v>
                </c:pt>
              </c:strCache>
            </c:strRef>
          </c:tx>
          <c:spPr>
            <a:solidFill>
              <a:srgbClr val="2297AA"/>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Details'!$G$11:$G$31</c:f>
              <c:numCache>
                <c:formatCode>#,##0</c:formatCode>
                <c:ptCount val="21"/>
                <c:pt idx="5">
                  <c:v>44.539976250000002</c:v>
                </c:pt>
                <c:pt idx="6">
                  <c:v>42.500045337750009</c:v>
                </c:pt>
                <c:pt idx="7">
                  <c:v>41.457809893500006</c:v>
                </c:pt>
                <c:pt idx="8">
                  <c:v>40.789710249750001</c:v>
                </c:pt>
                <c:pt idx="9">
                  <c:v>40.121610605999997</c:v>
                </c:pt>
                <c:pt idx="10">
                  <c:v>39.45351096225</c:v>
                </c:pt>
                <c:pt idx="11">
                  <c:v>38.785411318499996</c:v>
                </c:pt>
                <c:pt idx="12">
                  <c:v>38.117311674749992</c:v>
                </c:pt>
                <c:pt idx="13">
                  <c:v>37.449212030999995</c:v>
                </c:pt>
                <c:pt idx="14">
                  <c:v>36.781112387249991</c:v>
                </c:pt>
                <c:pt idx="15">
                  <c:v>36.113012743499993</c:v>
                </c:pt>
                <c:pt idx="16">
                  <c:v>35.444913099749996</c:v>
                </c:pt>
                <c:pt idx="17">
                  <c:v>34.776813455999992</c:v>
                </c:pt>
                <c:pt idx="18">
                  <c:v>34.108713812249988</c:v>
                </c:pt>
                <c:pt idx="19">
                  <c:v>33.440614168499991</c:v>
                </c:pt>
                <c:pt idx="20">
                  <c:v>32.772514524749994</c:v>
                </c:pt>
              </c:numCache>
            </c:numRef>
          </c:val>
          <c:extLst>
            <c:ext xmlns:c16="http://schemas.microsoft.com/office/drawing/2014/chart" uri="{C3380CC4-5D6E-409C-BE32-E72D297353CC}">
              <c16:uniqueId val="{00000001-6A2D-48B4-BC05-1B85596883CB}"/>
            </c:ext>
          </c:extLst>
        </c:ser>
        <c:ser>
          <c:idx val="0"/>
          <c:order val="2"/>
          <c:tx>
            <c:strRef>
              <c:f>'S&amp;L Augmentation Details'!$H$7</c:f>
              <c:strCache>
                <c:ptCount val="1"/>
                <c:pt idx="0">
                  <c:v>2nd Augmentation</c:v>
                </c:pt>
              </c:strCache>
            </c:strRef>
          </c:tx>
          <c:spPr>
            <a:solidFill>
              <a:srgbClr val="37BA95"/>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Details'!$H$11:$H$31</c:f>
              <c:numCache>
                <c:formatCode>#,##0</c:formatCode>
                <c:ptCount val="21"/>
                <c:pt idx="8">
                  <c:v>44.539976250000002</c:v>
                </c:pt>
                <c:pt idx="9">
                  <c:v>42.500045337750009</c:v>
                </c:pt>
                <c:pt idx="10">
                  <c:v>41.457809893500006</c:v>
                </c:pt>
                <c:pt idx="11">
                  <c:v>40.789710249750001</c:v>
                </c:pt>
                <c:pt idx="12">
                  <c:v>40.121610605999997</c:v>
                </c:pt>
                <c:pt idx="13">
                  <c:v>39.45351096225</c:v>
                </c:pt>
                <c:pt idx="14">
                  <c:v>38.785411318499996</c:v>
                </c:pt>
                <c:pt idx="15">
                  <c:v>38.117311674749992</c:v>
                </c:pt>
                <c:pt idx="16">
                  <c:v>37.449212030999995</c:v>
                </c:pt>
                <c:pt idx="17">
                  <c:v>36.781112387249991</c:v>
                </c:pt>
                <c:pt idx="18">
                  <c:v>36.113012743499993</c:v>
                </c:pt>
                <c:pt idx="19">
                  <c:v>35.444913099749996</c:v>
                </c:pt>
                <c:pt idx="20">
                  <c:v>34.776813455999992</c:v>
                </c:pt>
              </c:numCache>
            </c:numRef>
          </c:val>
          <c:extLst>
            <c:ext xmlns:c16="http://schemas.microsoft.com/office/drawing/2014/chart" uri="{C3380CC4-5D6E-409C-BE32-E72D297353CC}">
              <c16:uniqueId val="{00000002-6A2D-48B4-BC05-1B85596883CB}"/>
            </c:ext>
          </c:extLst>
        </c:ser>
        <c:ser>
          <c:idx val="4"/>
          <c:order val="3"/>
          <c:tx>
            <c:strRef>
              <c:f>'S&amp;L Augmentation Details'!$I$7</c:f>
              <c:strCache>
                <c:ptCount val="1"/>
                <c:pt idx="0">
                  <c:v>3rd Augmentation</c:v>
                </c:pt>
              </c:strCache>
            </c:strRef>
          </c:tx>
          <c:spPr>
            <a:solidFill>
              <a:srgbClr val="F3BD48"/>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Details'!$I$11:$I$31</c:f>
              <c:numCache>
                <c:formatCode>#,##0</c:formatCode>
                <c:ptCount val="21"/>
                <c:pt idx="11">
                  <c:v>44.539976250000002</c:v>
                </c:pt>
                <c:pt idx="12">
                  <c:v>42.500045337750009</c:v>
                </c:pt>
                <c:pt idx="13">
                  <c:v>41.457809893500006</c:v>
                </c:pt>
                <c:pt idx="14">
                  <c:v>40.789710249750001</c:v>
                </c:pt>
                <c:pt idx="15">
                  <c:v>40.121610605999997</c:v>
                </c:pt>
                <c:pt idx="16">
                  <c:v>39.45351096225</c:v>
                </c:pt>
                <c:pt idx="17">
                  <c:v>38.785411318499996</c:v>
                </c:pt>
                <c:pt idx="18">
                  <c:v>38.117311674749992</c:v>
                </c:pt>
                <c:pt idx="19">
                  <c:v>37.449212030999995</c:v>
                </c:pt>
                <c:pt idx="20">
                  <c:v>36.781112387249991</c:v>
                </c:pt>
              </c:numCache>
            </c:numRef>
          </c:val>
          <c:extLst>
            <c:ext xmlns:c16="http://schemas.microsoft.com/office/drawing/2014/chart" uri="{C3380CC4-5D6E-409C-BE32-E72D297353CC}">
              <c16:uniqueId val="{00000003-6A2D-48B4-BC05-1B85596883CB}"/>
            </c:ext>
          </c:extLst>
        </c:ser>
        <c:ser>
          <c:idx val="1"/>
          <c:order val="4"/>
          <c:tx>
            <c:strRef>
              <c:f>'S&amp;L Augmentation Details'!$J$7</c:f>
              <c:strCache>
                <c:ptCount val="1"/>
                <c:pt idx="0">
                  <c:v>4th Augmentation</c:v>
                </c:pt>
              </c:strCache>
            </c:strRef>
          </c:tx>
          <c:spPr>
            <a:solidFill>
              <a:srgbClr val="F26A25"/>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Details'!$J$11:$J$31</c:f>
              <c:numCache>
                <c:formatCode>#,##0</c:formatCode>
                <c:ptCount val="21"/>
                <c:pt idx="14">
                  <c:v>62.355966750000007</c:v>
                </c:pt>
                <c:pt idx="15">
                  <c:v>59.500063472850002</c:v>
                </c:pt>
                <c:pt idx="16">
                  <c:v>58.040933850900004</c:v>
                </c:pt>
                <c:pt idx="17">
                  <c:v>57.105594349650005</c:v>
                </c:pt>
                <c:pt idx="18">
                  <c:v>56.170254848400006</c:v>
                </c:pt>
                <c:pt idx="19">
                  <c:v>55.234915347149993</c:v>
                </c:pt>
                <c:pt idx="20">
                  <c:v>54.299575845899994</c:v>
                </c:pt>
              </c:numCache>
            </c:numRef>
          </c:val>
          <c:extLst>
            <c:ext xmlns:c16="http://schemas.microsoft.com/office/drawing/2014/chart" uri="{C3380CC4-5D6E-409C-BE32-E72D297353CC}">
              <c16:uniqueId val="{00000004-6A2D-48B4-BC05-1B85596883CB}"/>
            </c:ext>
          </c:extLst>
        </c:ser>
        <c:ser>
          <c:idx val="5"/>
          <c:order val="5"/>
          <c:tx>
            <c:strRef>
              <c:f>'S&amp;L Augmentation Details'!$K$7</c:f>
              <c:strCache>
                <c:ptCount val="1"/>
                <c:pt idx="0">
                  <c:v>5th Augmentation</c:v>
                </c:pt>
              </c:strCache>
            </c:strRef>
          </c:tx>
          <c:spPr>
            <a:solidFill>
              <a:srgbClr val="CD3E71"/>
            </a:solidFill>
            <a:ln>
              <a:noFill/>
            </a:ln>
            <a:effectLst/>
          </c:spPr>
          <c:invertIfNegative val="0"/>
          <c:cat>
            <c:numRef>
              <c:f>'S&amp;L Augmentation Details'!$D$11:$D$31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'S&amp;L Augmentation Details'!$K$11:$K$31</c:f>
              <c:numCache>
                <c:formatCode>#,##0</c:formatCode>
                <c:ptCount val="21"/>
                <c:pt idx="17">
                  <c:v>62.355966750000007</c:v>
                </c:pt>
                <c:pt idx="18">
                  <c:v>59.500063472850002</c:v>
                </c:pt>
                <c:pt idx="19">
                  <c:v>58.040933850900004</c:v>
                </c:pt>
                <c:pt idx="20">
                  <c:v>57.105594349650005</c:v>
                </c:pt>
              </c:numCache>
            </c:numRef>
          </c:val>
          <c:extLst>
            <c:ext xmlns:c16="http://schemas.microsoft.com/office/drawing/2014/chart" uri="{C3380CC4-5D6E-409C-BE32-E72D297353CC}">
              <c16:uniqueId val="{00000005-6A2D-48B4-BC05-1B85596883CB}"/>
            </c:ext>
          </c:extLst>
        </c:ser>
        <c:dLbls>
          <c:showLegendKey val="0"/>
          <c:showVal val="0"/>
          <c:showCatName val="0"/>
          <c:showSerName val="0"/>
          <c:showPercent val="0"/>
          <c:showBubbleSize val="0"/>
        </c:dLbls>
        <c:gapWidth val="35"/>
        <c:overlap val="100"/>
        <c:axId val="892094856"/>
        <c:axId val="892100432"/>
      </c:barChart>
      <c:catAx>
        <c:axId val="892094856"/>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Year of Operation</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rgbClr val="494F56"/>
            </a:solidFill>
            <a:round/>
          </a:ln>
          <a:effectLst/>
        </c:spPr>
        <c:txPr>
          <a:bodyPr rot="0" spcFirstLastPara="1" vertOverflow="ellipsis" wrap="square" anchor="ctr" anchorCtr="1"/>
          <a:lstStyle/>
          <a:p>
            <a:pPr>
              <a:defRPr sz="1400" b="0" i="0" u="none" strike="noStrike" kern="1200" baseline="0">
                <a:solidFill>
                  <a:srgbClr val="000000"/>
                </a:solidFill>
                <a:latin typeface="+mn-lt"/>
                <a:ea typeface="+mn-ea"/>
                <a:cs typeface="+mn-cs"/>
              </a:defRPr>
            </a:pPr>
            <a:endParaRPr lang="en-US"/>
          </a:p>
        </c:txPr>
        <c:crossAx val="892100432"/>
        <c:crosses val="autoZero"/>
        <c:auto val="1"/>
        <c:lblAlgn val="ctr"/>
        <c:lblOffset val="100"/>
        <c:noMultiLvlLbl val="0"/>
      </c:catAx>
      <c:valAx>
        <c:axId val="892100432"/>
        <c:scaling>
          <c:orientation val="minMax"/>
        </c:scaling>
        <c:delete val="0"/>
        <c:axPos val="l"/>
        <c:majorGridlines>
          <c:spPr>
            <a:ln w="12700" cap="flat" cmpd="sng" algn="ctr">
              <a:solidFill>
                <a:srgbClr val="E6E6E6"/>
              </a:solidFill>
              <a:prstDash val="solid"/>
              <a:round/>
            </a:ln>
            <a:effectLst/>
          </c:spPr>
        </c:majorGridlines>
        <c:title>
          <c:tx>
            <c:rich>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r>
                  <a:rPr lang="en-US"/>
                  <a:t>Gross Capacity (MWh AC) </a:t>
                </a:r>
              </a:p>
            </c:rich>
          </c:tx>
          <c:overlay val="0"/>
          <c:spPr>
            <a:noFill/>
            <a:ln>
              <a:noFill/>
            </a:ln>
            <a:effectLst/>
          </c:spPr>
          <c:txPr>
            <a:bodyPr rot="-5400000" spcFirstLastPara="1" vertOverflow="ellipsis" vert="horz" wrap="square" anchor="ctr" anchorCtr="1"/>
            <a:lstStyle/>
            <a:p>
              <a:pPr>
                <a:defRPr sz="1400" b="1" i="0" u="none" strike="noStrike" kern="1200" baseline="0">
                  <a:solidFill>
                    <a:srgbClr val="000000"/>
                  </a:solidFill>
                  <a:latin typeface="+mn-lt"/>
                  <a:ea typeface="+mn-ea"/>
                  <a:cs typeface="+mn-cs"/>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solidFill>
                  <a:srgbClr val="494F56"/>
                </a:solidFill>
              </a14:hiddenLine>
            </a:ext>
          </a:extLst>
        </c:spPr>
        <c:txPr>
          <a:bodyPr rot="-60000000" spcFirstLastPara="1" vertOverflow="ellipsis" vert="horz" wrap="square" anchor="ctr" anchorCtr="1"/>
          <a:lstStyle/>
          <a:p>
            <a:pPr>
              <a:defRPr sz="1400" b="0" i="0" u="none" strike="noStrike" kern="1200" baseline="0">
                <a:solidFill>
                  <a:srgbClr val="000000"/>
                </a:solidFill>
                <a:latin typeface="+mn-lt"/>
                <a:ea typeface="+mn-ea"/>
                <a:cs typeface="+mn-cs"/>
              </a:defRPr>
            </a:pPr>
            <a:endParaRPr lang="en-US"/>
          </a:p>
        </c:txPr>
        <c:crossAx val="892094856"/>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a:extLst>
      <a:ext uri="{91240B29-F687-4F45-9708-019B960494DF}">
        <a14:hiddenLine xmlns:a14="http://schemas.microsoft.com/office/drawing/2010/main" w="9525" cap="flat" cmpd="sng" algn="ctr">
          <a:solidFill>
            <a:srgbClr val="000000">
              <a:lumMod val="15000"/>
              <a:lumOff val="85000"/>
            </a:srgb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462806</xdr:colOff>
      <xdr:row>46</xdr:row>
      <xdr:rowOff>34015</xdr:rowOff>
    </xdr:from>
    <xdr:to>
      <xdr:col>23</xdr:col>
      <xdr:colOff>361043</xdr:colOff>
      <xdr:row>63</xdr:row>
      <xdr:rowOff>55786</xdr:rowOff>
    </xdr:to>
    <xdr:graphicFrame macro="">
      <xdr:nvGraphicFramePr>
        <xdr:cNvPr id="2" name="Chart 1">
          <a:extLst>
            <a:ext uri="{FF2B5EF4-FFF2-40B4-BE49-F238E27FC236}">
              <a16:creationId xmlns:a16="http://schemas.microsoft.com/office/drawing/2014/main" id="{0D37256E-0ADC-45B1-9AE8-A9DDF37C3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167114</xdr:colOff>
      <xdr:row>6</xdr:row>
      <xdr:rowOff>478</xdr:rowOff>
    </xdr:from>
    <xdr:to>
      <xdr:col>26</xdr:col>
      <xdr:colOff>396286</xdr:colOff>
      <xdr:row>33</xdr:row>
      <xdr:rowOff>22412</xdr:rowOff>
    </xdr:to>
    <xdr:graphicFrame macro="">
      <xdr:nvGraphicFramePr>
        <xdr:cNvPr id="2" name="Chart 1">
          <a:extLst>
            <a:ext uri="{FF2B5EF4-FFF2-40B4-BE49-F238E27FC236}">
              <a16:creationId xmlns:a16="http://schemas.microsoft.com/office/drawing/2014/main" id="{1D08EC6F-9117-4503-B5A3-3170D3485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0.82039</cdr:x>
      <cdr:y>0.35201</cdr:y>
    </cdr:from>
    <cdr:to>
      <cdr:x>0.97362</cdr:x>
      <cdr:y>0.69143</cdr:y>
    </cdr:to>
    <cdr:sp macro="" textlink="">
      <cdr:nvSpPr>
        <cdr:cNvPr id="2" name="TextBox 1">
          <a:extLst xmlns:a="http://schemas.openxmlformats.org/drawingml/2006/main">
            <a:ext uri="{FF2B5EF4-FFF2-40B4-BE49-F238E27FC236}">
              <a16:creationId xmlns:a16="http://schemas.microsoft.com/office/drawing/2014/main" id="{17B2DC68-A997-E5C2-51F3-2A6832C7EB6A}"/>
            </a:ext>
          </a:extLst>
        </cdr:cNvPr>
        <cdr:cNvSpPr txBox="1"/>
      </cdr:nvSpPr>
      <cdr:spPr>
        <a:xfrm xmlns:a="http://schemas.openxmlformats.org/drawingml/2006/main">
          <a:off x="6779558" y="1661890"/>
          <a:ext cx="1266265" cy="1602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0.79968</cdr:x>
      <cdr:y>0.2282</cdr:y>
    </cdr:from>
    <cdr:to>
      <cdr:x>0.9936</cdr:x>
      <cdr:y>0.54863</cdr:y>
    </cdr:to>
    <cdr:sp macro="" textlink="">
      <cdr:nvSpPr>
        <cdr:cNvPr id="3" name="TextBox 2">
          <a:extLst xmlns:a="http://schemas.openxmlformats.org/drawingml/2006/main">
            <a:ext uri="{FF2B5EF4-FFF2-40B4-BE49-F238E27FC236}">
              <a16:creationId xmlns:a16="http://schemas.microsoft.com/office/drawing/2014/main" id="{B48501B2-C079-EEEA-BBC1-97BE73FC06B2}"/>
            </a:ext>
          </a:extLst>
        </cdr:cNvPr>
        <cdr:cNvSpPr txBox="1"/>
      </cdr:nvSpPr>
      <cdr:spPr>
        <a:xfrm xmlns:a="http://schemas.openxmlformats.org/drawingml/2006/main">
          <a:off x="6680892" y="1072907"/>
          <a:ext cx="1620087" cy="150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6"/>
              </a:solidFill>
            </a:rPr>
            <a:t>5th</a:t>
          </a:r>
          <a:r>
            <a:rPr lang="en-US" sz="1400" b="1" baseline="0">
              <a:solidFill>
                <a:schemeClr val="accent6"/>
              </a:solidFill>
            </a:rPr>
            <a:t> Augmentation</a:t>
          </a:r>
        </a:p>
        <a:p xmlns:a="http://schemas.openxmlformats.org/drawingml/2006/main">
          <a:r>
            <a:rPr lang="en-US" sz="1400" b="1" baseline="0">
              <a:solidFill>
                <a:schemeClr val="accent5"/>
              </a:solidFill>
            </a:rPr>
            <a:t>4th Augmentation</a:t>
          </a:r>
        </a:p>
        <a:p xmlns:a="http://schemas.openxmlformats.org/drawingml/2006/main">
          <a:r>
            <a:rPr lang="en-US" sz="1400" b="1" baseline="0">
              <a:solidFill>
                <a:schemeClr val="accent4"/>
              </a:solidFill>
            </a:rPr>
            <a:t>3rd Augmentation</a:t>
          </a:r>
        </a:p>
        <a:p xmlns:a="http://schemas.openxmlformats.org/drawingml/2006/main">
          <a:r>
            <a:rPr lang="en-US" sz="1400" b="1" baseline="0">
              <a:solidFill>
                <a:schemeClr val="accent3"/>
              </a:solidFill>
            </a:rPr>
            <a:t>2nd Augmentation</a:t>
          </a:r>
        </a:p>
        <a:p xmlns:a="http://schemas.openxmlformats.org/drawingml/2006/main">
          <a:r>
            <a:rPr lang="en-US" sz="1400" b="1" baseline="0">
              <a:solidFill>
                <a:schemeClr val="accent2"/>
              </a:solidFill>
            </a:rPr>
            <a:t>1st Augmentation</a:t>
          </a:r>
        </a:p>
        <a:p xmlns:a="http://schemas.openxmlformats.org/drawingml/2006/main">
          <a:r>
            <a:rPr lang="en-US" sz="1400" b="1" baseline="0">
              <a:solidFill>
                <a:schemeClr val="accent1"/>
              </a:solidFill>
            </a:rPr>
            <a:t>Initial Installation</a:t>
          </a:r>
          <a:endParaRPr lang="en-US" sz="1400" b="1">
            <a:solidFill>
              <a:schemeClr val="accent1"/>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X:\9000\9316_PJM_Quad_VI\CONE%20Study\Analysis\2_Workbooks\5_CONE%20Model\_Reference\2024-07-02_Brattle%20PJM%20CONE%20Model_Updated%20ATWACC%20and%20Bonus%20Dep.xlsx" TargetMode="External"/><Relationship Id="rId1" Type="http://schemas.openxmlformats.org/officeDocument/2006/relationships/externalLinkPath" Target="/9000/9316_PJM_Quad_VI/CONE%20Study/Analysis/2_Workbooks/5_CONE%20Model/_Reference/2024-07-02_Brattle%20PJM%20CONE%20Model_Updated%20ATWACC%20and%20Bonus%20D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 Tables &amp; Figures &gt;&gt;"/>
      <sheetName val="CONE Summary - Gas"/>
      <sheetName val="Table ES-1"/>
      <sheetName val="Table ES-2"/>
      <sheetName val="Table ES-3"/>
      <sheetName val="Capital Costs - Gas"/>
      <sheetName val="O&amp;M Costs - Gas"/>
      <sheetName val="CONE Summary - BESS"/>
      <sheetName val="Capital Costs - BESS"/>
      <sheetName val="O&amp;M Costs - BESS"/>
      <sheetName val="Input - Tables &amp; Figures &gt;&gt;"/>
      <sheetName val="Summary Table (kW-yr)"/>
      <sheetName val="CT CONE Results"/>
      <sheetName val="CC CONE Results"/>
      <sheetName val="BESS CONE Results"/>
      <sheetName val="CONE_Calculations"/>
      <sheetName val="Construction Costs"/>
      <sheetName val="Escalation Calculations&gt;&gt;"/>
      <sheetName val="Capital Costs_Nominal$"/>
      <sheetName val="BESS_Capital Costs_Nominal$"/>
      <sheetName val="Capital Cost Escalation"/>
      <sheetName val="Capital Costs"/>
      <sheetName val="BESS_Capital Costs"/>
      <sheetName val="O&amp;M Costs_2026$"/>
      <sheetName val="BESS_O&amp;M Costs_2026$"/>
      <sheetName val="Annual FOM"/>
      <sheetName val="Raw Data&gt;&gt;&gt;"/>
      <sheetName val="Property Tax for appendix"/>
      <sheetName val="Additional Estimates"/>
      <sheetName val="Tax_depreciation"/>
      <sheetName val="ATB 2021 Utility-Scale BESS"/>
      <sheetName val="Inflation Assumptions"/>
      <sheetName val="From S&amp;L&gt;&gt;"/>
      <sheetName val="Capital Costs Data BESS"/>
      <sheetName val="O&amp;M Costs BESS"/>
      <sheetName val="Cost Assumptions BESS"/>
      <sheetName val="Capital Costs Data"/>
      <sheetName val="Cost Assumptions"/>
      <sheetName val="O&amp;M Costs"/>
      <sheetName val="Capital Drawdown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D6" t="str">
            <v>Combined Cycle</v>
          </cell>
        </row>
      </sheetData>
      <sheetData sheetId="16">
        <row r="31">
          <cell r="F31">
            <v>1290.4625230866277</v>
          </cell>
        </row>
      </sheetData>
      <sheetData sheetId="17"/>
      <sheetData sheetId="18"/>
      <sheetData sheetId="19"/>
      <sheetData sheetId="20"/>
      <sheetData sheetId="21"/>
      <sheetData sheetId="22"/>
      <sheetData sheetId="23">
        <row r="4">
          <cell r="B4">
            <v>3.0066805731539858E-2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6727385B-7DED-48AB-ADD9-C5ECDE71B75B}" vid="{BD4304B2-59DE-4690-9A3A-D9BAADE92E5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C71D-565B-4238-BE76-8D70995AC049}">
  <sheetPr codeName="Sheet1">
    <pageSetUpPr autoPageBreaks="0"/>
  </sheetPr>
  <dimension ref="D3:E36"/>
  <sheetViews>
    <sheetView showGridLines="0" tabSelected="1" zoomScale="70" zoomScaleNormal="70" zoomScaleSheetLayoutView="100" workbookViewId="0"/>
  </sheetViews>
  <sheetFormatPr defaultColWidth="8.7265625" defaultRowHeight="15" customHeight="1" x14ac:dyDescent="0.35"/>
  <cols>
    <col min="1" max="3" width="13.54296875" style="252" customWidth="1"/>
    <col min="4" max="5" width="30.54296875" style="252" customWidth="1"/>
    <col min="6" max="16384" width="8.7265625" style="252"/>
  </cols>
  <sheetData>
    <row r="3" spans="4:5" ht="15" customHeight="1" x14ac:dyDescent="0.35">
      <c r="D3" s="9"/>
    </row>
    <row r="4" spans="4:5" ht="15" customHeight="1" x14ac:dyDescent="0.35">
      <c r="D4" s="1642" t="s">
        <v>273</v>
      </c>
    </row>
    <row r="5" spans="4:5" ht="6" customHeight="1" thickBot="1" x14ac:dyDescent="0.4">
      <c r="D5" s="90"/>
      <c r="E5" s="3"/>
    </row>
    <row r="6" spans="4:5" ht="6" customHeight="1" thickTop="1" x14ac:dyDescent="0.35">
      <c r="D6" s="87"/>
      <c r="E6" s="1"/>
    </row>
    <row r="7" spans="4:5" ht="15" customHeight="1" x14ac:dyDescent="0.35">
      <c r="D7" s="175" t="s">
        <v>274</v>
      </c>
    </row>
    <row r="8" spans="4:5" ht="6" customHeight="1" x14ac:dyDescent="0.35"/>
    <row r="9" spans="4:5" ht="15" customHeight="1" x14ac:dyDescent="0.35">
      <c r="D9" s="2182" t="s">
        <v>680</v>
      </c>
      <c r="E9" s="2182"/>
    </row>
    <row r="10" spans="4:5" ht="15" customHeight="1" x14ac:dyDescent="0.35">
      <c r="D10" s="2182"/>
      <c r="E10" s="2182"/>
    </row>
    <row r="11" spans="4:5" ht="15" customHeight="1" x14ac:dyDescent="0.35">
      <c r="D11" s="2182"/>
      <c r="E11" s="2182"/>
    </row>
    <row r="12" spans="4:5" ht="15" customHeight="1" x14ac:dyDescent="0.35">
      <c r="D12" s="2182"/>
      <c r="E12" s="2182"/>
    </row>
    <row r="13" spans="4:5" ht="15" customHeight="1" x14ac:dyDescent="0.35">
      <c r="D13" s="2182"/>
      <c r="E13" s="2182"/>
    </row>
    <row r="14" spans="4:5" ht="15" customHeight="1" x14ac:dyDescent="0.35">
      <c r="D14" s="2182"/>
      <c r="E14" s="2182"/>
    </row>
    <row r="15" spans="4:5" ht="15" customHeight="1" x14ac:dyDescent="0.35">
      <c r="D15" s="2182"/>
      <c r="E15" s="2182"/>
    </row>
    <row r="16" spans="4:5" ht="15" customHeight="1" x14ac:dyDescent="0.35">
      <c r="D16" s="2182"/>
      <c r="E16" s="2182"/>
    </row>
    <row r="17" spans="4:5" ht="15" customHeight="1" x14ac:dyDescent="0.35">
      <c r="D17" s="2182"/>
      <c r="E17" s="2182"/>
    </row>
    <row r="18" spans="4:5" ht="15" customHeight="1" x14ac:dyDescent="0.35">
      <c r="D18" s="2182"/>
      <c r="E18" s="2182"/>
    </row>
    <row r="19" spans="4:5" ht="15" customHeight="1" x14ac:dyDescent="0.35">
      <c r="D19" s="2182"/>
      <c r="E19" s="2182"/>
    </row>
    <row r="20" spans="4:5" ht="15" customHeight="1" x14ac:dyDescent="0.35">
      <c r="D20" s="2182"/>
      <c r="E20" s="2182"/>
    </row>
    <row r="21" spans="4:5" ht="15" customHeight="1" x14ac:dyDescent="0.35">
      <c r="D21" s="2182"/>
      <c r="E21" s="2182"/>
    </row>
    <row r="22" spans="4:5" ht="15" customHeight="1" x14ac:dyDescent="0.35">
      <c r="D22" s="2182"/>
      <c r="E22" s="2182"/>
    </row>
    <row r="23" spans="4:5" ht="15" customHeight="1" x14ac:dyDescent="0.35">
      <c r="D23" s="2182"/>
      <c r="E23" s="2182"/>
    </row>
    <row r="24" spans="4:5" ht="15" customHeight="1" x14ac:dyDescent="0.35">
      <c r="D24" s="2182"/>
      <c r="E24" s="2182"/>
    </row>
    <row r="25" spans="4:5" ht="15" customHeight="1" x14ac:dyDescent="0.35">
      <c r="D25" s="2182"/>
      <c r="E25" s="2182"/>
    </row>
    <row r="26" spans="4:5" ht="15" customHeight="1" x14ac:dyDescent="0.35">
      <c r="D26" s="2182"/>
      <c r="E26" s="2182"/>
    </row>
    <row r="27" spans="4:5" ht="15" customHeight="1" x14ac:dyDescent="0.35">
      <c r="D27" s="2182"/>
      <c r="E27" s="2182"/>
    </row>
    <row r="28" spans="4:5" ht="15" customHeight="1" x14ac:dyDescent="0.35">
      <c r="D28" s="2182"/>
      <c r="E28" s="2182"/>
    </row>
    <row r="29" spans="4:5" ht="15" customHeight="1" x14ac:dyDescent="0.35">
      <c r="D29" s="2182"/>
      <c r="E29" s="2182"/>
    </row>
    <row r="30" spans="4:5" ht="15" customHeight="1" x14ac:dyDescent="0.35">
      <c r="D30" s="2182"/>
      <c r="E30" s="2182"/>
    </row>
    <row r="31" spans="4:5" ht="15" customHeight="1" x14ac:dyDescent="0.35">
      <c r="D31" s="2182"/>
      <c r="E31" s="2182"/>
    </row>
    <row r="32" spans="4:5" ht="18.649999999999999" customHeight="1" x14ac:dyDescent="0.35">
      <c r="D32" s="2182"/>
      <c r="E32" s="2182"/>
    </row>
    <row r="33" spans="4:5" ht="15" hidden="1" customHeight="1" x14ac:dyDescent="0.35">
      <c r="D33" s="2182"/>
      <c r="E33" s="2182"/>
    </row>
    <row r="34" spans="4:5" ht="14.5" hidden="1" customHeight="1" x14ac:dyDescent="0.35">
      <c r="D34" s="2182"/>
      <c r="E34" s="2182"/>
    </row>
    <row r="35" spans="4:5" ht="6" customHeight="1" thickBot="1" x14ac:dyDescent="0.4">
      <c r="D35" s="90"/>
      <c r="E35" s="3"/>
    </row>
    <row r="36" spans="4:5" ht="6" customHeight="1" thickTop="1" x14ac:dyDescent="0.35">
      <c r="D36" s="87"/>
      <c r="E36" s="1"/>
    </row>
  </sheetData>
  <mergeCells count="1">
    <mergeCell ref="D9:E34"/>
  </mergeCells>
  <printOptions horizontalCentered="1"/>
  <pageMargins left="0.7" right="0.7" top="0.75" bottom="0.75" header="0.3" footer="0.3"/>
  <pageSetup orientation="landscape" horizontalDpi="1200" verticalDpi="1200"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E066-F65B-4BE9-8199-7D55614C56AB}">
  <sheetPr codeName="Sheet2">
    <pageSetUpPr autoPageBreaks="0"/>
  </sheetPr>
  <dimension ref="A1:K55"/>
  <sheetViews>
    <sheetView showGridLines="0" topLeftCell="G1" zoomScale="70" zoomScaleNormal="70" zoomScaleSheetLayoutView="100" workbookViewId="0">
      <selection activeCell="G1" sqref="G1"/>
    </sheetView>
  </sheetViews>
  <sheetFormatPr defaultColWidth="9.1796875" defaultRowHeight="15" customHeight="1" outlineLevelCol="1" x14ac:dyDescent="0.35"/>
  <cols>
    <col min="1" max="1" width="9.1796875" style="255" hidden="1" customWidth="1" outlineLevel="1"/>
    <col min="2" max="2" width="10.7265625" style="255" hidden="1" customWidth="1" outlineLevel="1"/>
    <col min="3" max="4" width="18" style="255" hidden="1" customWidth="1" outlineLevel="1"/>
    <col min="5" max="5" width="26.1796875" style="255" hidden="1" customWidth="1" outlineLevel="1"/>
    <col min="6" max="6" width="2.1796875" style="255" hidden="1" customWidth="1" outlineLevel="1"/>
    <col min="7" max="7" width="13.54296875" style="38" customWidth="1" collapsed="1"/>
    <col min="8" max="9" width="13.54296875" style="38" customWidth="1"/>
    <col min="10" max="10" width="66.26953125" style="39" bestFit="1" customWidth="1"/>
    <col min="11" max="16384" width="9.1796875" style="5"/>
  </cols>
  <sheetData>
    <row r="1" spans="1:11" ht="15" customHeight="1" x14ac:dyDescent="0.35">
      <c r="G1" s="1633" t="s">
        <v>275</v>
      </c>
    </row>
    <row r="2" spans="1:11" ht="15" customHeight="1" x14ac:dyDescent="0.35">
      <c r="A2" s="255" t="s">
        <v>159</v>
      </c>
      <c r="B2" s="255" t="s">
        <v>172</v>
      </c>
      <c r="G2" s="1310"/>
      <c r="J2" s="9"/>
    </row>
    <row r="3" spans="1:11" ht="15" customHeight="1" x14ac:dyDescent="0.35">
      <c r="G3" s="1310"/>
      <c r="J3" s="9"/>
    </row>
    <row r="4" spans="1:11" ht="15" customHeight="1" x14ac:dyDescent="0.35">
      <c r="A4" s="255" t="s">
        <v>161</v>
      </c>
      <c r="B4" s="255" t="s">
        <v>171</v>
      </c>
      <c r="C4" s="255" t="s">
        <v>160</v>
      </c>
      <c r="D4" s="255" t="s">
        <v>268</v>
      </c>
      <c r="E4" s="255" t="s">
        <v>165</v>
      </c>
      <c r="F4" s="255" t="s">
        <v>677</v>
      </c>
      <c r="G4" s="1310"/>
      <c r="J4" s="1642" t="s">
        <v>164</v>
      </c>
      <c r="K4" s="2"/>
    </row>
    <row r="5" spans="1:11" ht="6" customHeight="1" thickBot="1" x14ac:dyDescent="0.4">
      <c r="G5" s="1310"/>
      <c r="J5" s="40"/>
    </row>
    <row r="6" spans="1:11" ht="6" customHeight="1" thickTop="1" x14ac:dyDescent="0.35">
      <c r="G6" s="1310"/>
    </row>
    <row r="7" spans="1:11" ht="15" customHeight="1" x14ac:dyDescent="0.35">
      <c r="G7" s="1310"/>
      <c r="J7" s="1634" t="s">
        <v>162</v>
      </c>
    </row>
    <row r="8" spans="1:11" ht="15" customHeight="1" x14ac:dyDescent="0.35">
      <c r="A8" s="255">
        <v>1</v>
      </c>
      <c r="B8" s="255" t="str">
        <f>$A$4&amp;$B$4&amp;$A8</f>
        <v>Table T1</v>
      </c>
      <c r="C8" s="255" t="s">
        <v>625</v>
      </c>
      <c r="G8" s="1310"/>
      <c r="J8" s="183" t="str">
        <f>$B8&amp;": "&amp;$C8</f>
        <v>Table T1: Indicative Net CONE and Other Benchmarks (RTO)</v>
      </c>
    </row>
    <row r="9" spans="1:11" ht="15" customHeight="1" x14ac:dyDescent="0.35">
      <c r="A9" s="255">
        <f>A8+1</f>
        <v>2</v>
      </c>
      <c r="B9" s="255" t="str">
        <f t="shared" ref="B9" si="0">$A$4&amp;$B$4&amp;$A9</f>
        <v>Table T2</v>
      </c>
      <c r="C9" s="255" t="s">
        <v>659</v>
      </c>
      <c r="G9" s="1310"/>
      <c r="J9" s="182" t="str">
        <f t="shared" ref="J9" si="1">$B9&amp;": "&amp;$C9</f>
        <v>Table T2: CONE by Technology and CONE Area</v>
      </c>
    </row>
    <row r="10" spans="1:11" s="23" customFormat="1" ht="15" customHeight="1" x14ac:dyDescent="0.35">
      <c r="A10" s="255">
        <f t="shared" ref="A10:A18" si="2">A9+1</f>
        <v>3</v>
      </c>
      <c r="B10" s="255" t="str">
        <f>$A$4&amp;$B$4&amp;$A10</f>
        <v>Table T3</v>
      </c>
      <c r="C10" s="255" t="str">
        <f>"CONE Summary for "&amp;Control!$I$10&amp;" Resource (Nominal$)"</f>
        <v>CONE Summary for CT Resource (Nominal$)</v>
      </c>
      <c r="D10" s="255"/>
      <c r="E10" s="255"/>
      <c r="F10" s="255"/>
      <c r="G10" s="1310"/>
      <c r="H10" s="38"/>
      <c r="I10" s="38"/>
      <c r="J10" s="182" t="str">
        <f>$B10&amp;": "&amp;$C10</f>
        <v>Table T3: CONE Summary for CT Resource (Nominal$)</v>
      </c>
    </row>
    <row r="11" spans="1:11" s="23" customFormat="1" ht="15" customHeight="1" x14ac:dyDescent="0.35">
      <c r="A11" s="255">
        <f t="shared" si="2"/>
        <v>4</v>
      </c>
      <c r="B11" s="255" t="str">
        <f t="shared" ref="B11:B21" si="3">$A$4&amp;$B$4&amp;$A11</f>
        <v>Table T4</v>
      </c>
      <c r="C11" s="255" t="str">
        <f>"CONE Summary for "&amp;Control!$J$10&amp;" Resource (Nominal$)"</f>
        <v>CONE Summary for CC Resource (Nominal$)</v>
      </c>
      <c r="D11" s="255"/>
      <c r="E11" s="255"/>
      <c r="F11" s="255"/>
      <c r="G11" s="1311"/>
      <c r="H11" s="38"/>
      <c r="I11" s="38"/>
      <c r="J11" s="182" t="str">
        <f t="shared" ref="J11:J21" si="4">$B11&amp;": "&amp;$C11</f>
        <v>Table T4: CONE Summary for CC Resource (Nominal$)</v>
      </c>
    </row>
    <row r="12" spans="1:11" s="23" customFormat="1" ht="15" customHeight="1" x14ac:dyDescent="0.35">
      <c r="A12" s="255">
        <f t="shared" si="2"/>
        <v>5</v>
      </c>
      <c r="B12" s="255" t="str">
        <f t="shared" si="3"/>
        <v>Table T5</v>
      </c>
      <c r="C12" s="255" t="str">
        <f>"CONE Summary for "&amp;Control!$K$10&amp;" Resource (Nominal$)"</f>
        <v>CONE Summary for BESS Resource (Nominal$)</v>
      </c>
      <c r="D12" s="255"/>
      <c r="E12" s="255"/>
      <c r="F12" s="255"/>
      <c r="G12" s="1311"/>
      <c r="H12" s="38"/>
      <c r="I12" s="38"/>
      <c r="J12" s="182" t="str">
        <f t="shared" si="4"/>
        <v>Table T5: CONE Summary for BESS Resource (Nominal$)</v>
      </c>
    </row>
    <row r="13" spans="1:11" s="23" customFormat="1" ht="15" customHeight="1" x14ac:dyDescent="0.35">
      <c r="A13" s="255">
        <f t="shared" si="2"/>
        <v>6</v>
      </c>
      <c r="B13" s="255" t="str">
        <f t="shared" si="3"/>
        <v>Table T6</v>
      </c>
      <c r="C13" s="255" t="str">
        <f>"Capital Costs for "&amp;Control!$I$10&amp;" Resource (Nominal$)"</f>
        <v>Capital Costs for CT Resource (Nominal$)</v>
      </c>
      <c r="D13" s="255"/>
      <c r="E13" s="255"/>
      <c r="F13" s="255"/>
      <c r="G13" s="1311"/>
      <c r="H13" s="38"/>
      <c r="I13" s="38"/>
      <c r="J13" s="182" t="str">
        <f t="shared" si="4"/>
        <v>Table T6: Capital Costs for CT Resource (Nominal$)</v>
      </c>
    </row>
    <row r="14" spans="1:11" s="23" customFormat="1" ht="15" customHeight="1" x14ac:dyDescent="0.35">
      <c r="A14" s="255">
        <f t="shared" si="2"/>
        <v>7</v>
      </c>
      <c r="B14" s="255" t="str">
        <f t="shared" si="3"/>
        <v>Table T7</v>
      </c>
      <c r="C14" s="255" t="str">
        <f>"Capital Costs for "&amp;Control!$J$10&amp;" Resource (Nominal$)"</f>
        <v>Capital Costs for CC Resource (Nominal$)</v>
      </c>
      <c r="D14" s="255"/>
      <c r="E14" s="255"/>
      <c r="F14" s="255"/>
      <c r="G14" s="1311"/>
      <c r="H14" s="38"/>
      <c r="I14" s="38"/>
      <c r="J14" s="182" t="str">
        <f t="shared" si="4"/>
        <v>Table T7: Capital Costs for CC Resource (Nominal$)</v>
      </c>
    </row>
    <row r="15" spans="1:11" s="23" customFormat="1" ht="15" customHeight="1" x14ac:dyDescent="0.35">
      <c r="A15" s="255">
        <f t="shared" si="2"/>
        <v>8</v>
      </c>
      <c r="B15" s="255" t="str">
        <f t="shared" si="3"/>
        <v>Table T8</v>
      </c>
      <c r="C15" s="255" t="str">
        <f>"Capital Costs for "&amp;Control!$K$10&amp;" Resource (Nominal$)"</f>
        <v>Capital Costs for BESS Resource (Nominal$)</v>
      </c>
      <c r="D15" s="255"/>
      <c r="E15" s="255"/>
      <c r="F15" s="255"/>
      <c r="G15" s="1311"/>
      <c r="H15" s="38"/>
      <c r="I15" s="38"/>
      <c r="J15" s="182" t="str">
        <f t="shared" si="4"/>
        <v>Table T8: Capital Costs for BESS Resource (Nominal$)</v>
      </c>
    </row>
    <row r="16" spans="1:11" s="23" customFormat="1" ht="15" customHeight="1" x14ac:dyDescent="0.35">
      <c r="A16" s="255">
        <f t="shared" si="2"/>
        <v>9</v>
      </c>
      <c r="B16" s="255" t="str">
        <f t="shared" si="3"/>
        <v>Table T9</v>
      </c>
      <c r="C16" s="255" t="str">
        <f>"Operations &amp; Maintenance Costs for "&amp;Control!$I$10&amp;" Resource (Nominal$)"</f>
        <v>Operations &amp; Maintenance Costs for CT Resource (Nominal$)</v>
      </c>
      <c r="D16" s="255"/>
      <c r="E16" s="255"/>
      <c r="F16" s="255"/>
      <c r="G16" s="38"/>
      <c r="H16" s="38"/>
      <c r="I16" s="38"/>
      <c r="J16" s="182" t="str">
        <f t="shared" si="4"/>
        <v>Table T9: Operations &amp; Maintenance Costs for CT Resource (Nominal$)</v>
      </c>
    </row>
    <row r="17" spans="1:10" s="23" customFormat="1" ht="15" customHeight="1" x14ac:dyDescent="0.35">
      <c r="A17" s="255">
        <f t="shared" si="2"/>
        <v>10</v>
      </c>
      <c r="B17" s="255" t="str">
        <f t="shared" si="3"/>
        <v>Table T10</v>
      </c>
      <c r="C17" s="255" t="str">
        <f>"Operations &amp; Maintenance Costs for "&amp;Control!$J$10&amp;" Resource (Nominal$)"</f>
        <v>Operations &amp; Maintenance Costs for CC Resource (Nominal$)</v>
      </c>
      <c r="D17" s="255"/>
      <c r="E17" s="255"/>
      <c r="F17" s="255"/>
      <c r="G17" s="38"/>
      <c r="H17" s="38"/>
      <c r="I17" s="38"/>
      <c r="J17" s="182" t="str">
        <f t="shared" si="4"/>
        <v>Table T10: Operations &amp; Maintenance Costs for CC Resource (Nominal$)</v>
      </c>
    </row>
    <row r="18" spans="1:10" s="23" customFormat="1" ht="15" customHeight="1" x14ac:dyDescent="0.35">
      <c r="A18" s="255">
        <f t="shared" si="2"/>
        <v>11</v>
      </c>
      <c r="B18" s="255" t="str">
        <f t="shared" si="3"/>
        <v>Table T11</v>
      </c>
      <c r="C18" s="255" t="str">
        <f>"Operations &amp; Maintenance Costs for "&amp;Control!$K$10&amp;" Resource (Nominal$)"</f>
        <v>Operations &amp; Maintenance Costs for BESS Resource (Nominal$)</v>
      </c>
      <c r="D18" s="255"/>
      <c r="E18" s="255"/>
      <c r="F18" s="255"/>
      <c r="G18" s="38"/>
      <c r="H18" s="38"/>
      <c r="I18" s="38"/>
      <c r="J18" s="182" t="str">
        <f t="shared" si="4"/>
        <v>Table T11: Operations &amp; Maintenance Costs for BESS Resource (Nominal$)</v>
      </c>
    </row>
    <row r="19" spans="1:10" s="23" customFormat="1" ht="6" customHeight="1" x14ac:dyDescent="0.35">
      <c r="A19" s="255"/>
      <c r="B19" s="255"/>
      <c r="C19" s="255"/>
      <c r="D19" s="255"/>
      <c r="E19" s="255"/>
      <c r="F19" s="255"/>
      <c r="G19" s="38"/>
      <c r="H19" s="38"/>
      <c r="I19" s="38"/>
      <c r="J19" s="182"/>
    </row>
    <row r="20" spans="1:10" s="23" customFormat="1" ht="15" customHeight="1" x14ac:dyDescent="0.35">
      <c r="A20" s="255"/>
      <c r="B20" s="255"/>
      <c r="C20" s="255"/>
      <c r="D20" s="255"/>
      <c r="E20" s="255"/>
      <c r="F20" s="255"/>
      <c r="G20" s="38"/>
      <c r="H20" s="38"/>
      <c r="I20" s="38"/>
      <c r="J20" s="1634" t="s">
        <v>676</v>
      </c>
    </row>
    <row r="21" spans="1:10" s="23" customFormat="1" ht="15" customHeight="1" x14ac:dyDescent="0.35">
      <c r="A21" s="255">
        <f>A18+1</f>
        <v>12</v>
      </c>
      <c r="B21" s="255" t="str">
        <f t="shared" si="3"/>
        <v>Table T12</v>
      </c>
      <c r="C21" s="255" t="s">
        <v>608</v>
      </c>
      <c r="D21" s="255"/>
      <c r="E21" s="255"/>
      <c r="F21" s="255"/>
      <c r="G21" s="38"/>
      <c r="H21" s="38"/>
      <c r="I21" s="38"/>
      <c r="J21" s="182" t="str">
        <f t="shared" si="4"/>
        <v>Table T12: Reservation Price Analysis Results</v>
      </c>
    </row>
    <row r="22" spans="1:10" s="23" customFormat="1" ht="15" customHeight="1" x14ac:dyDescent="0.35">
      <c r="A22" s="255">
        <f>A21+1</f>
        <v>13</v>
      </c>
      <c r="B22" s="255" t="str">
        <f>$A$4&amp;$B$4&amp;$A22</f>
        <v>Table T13</v>
      </c>
      <c r="C22" s="255" t="s">
        <v>660</v>
      </c>
      <c r="D22" s="255"/>
      <c r="E22" s="255"/>
      <c r="F22" s="255"/>
      <c r="G22" s="38"/>
      <c r="H22" s="38"/>
      <c r="I22" s="38"/>
      <c r="J22" s="182" t="str">
        <f>$B22&amp;": "&amp;$C22</f>
        <v>Table T13: Cash Flows for Reservation Price Analysis</v>
      </c>
    </row>
    <row r="23" spans="1:10" ht="6" customHeight="1" x14ac:dyDescent="0.35">
      <c r="G23" s="38" t="s">
        <v>163</v>
      </c>
    </row>
    <row r="24" spans="1:10" ht="15" customHeight="1" x14ac:dyDescent="0.35">
      <c r="G24" s="38" t="s">
        <v>163</v>
      </c>
      <c r="J24" s="1634" t="s">
        <v>166</v>
      </c>
    </row>
    <row r="25" spans="1:10" ht="15" customHeight="1" x14ac:dyDescent="0.35">
      <c r="A25" s="255">
        <f>MAX($A$24:A24)+1</f>
        <v>1</v>
      </c>
      <c r="B25" s="255" t="str">
        <f>$A$4&amp;$C$4&amp;$A25</f>
        <v>Table A1</v>
      </c>
      <c r="C25" s="255" t="s">
        <v>168</v>
      </c>
      <c r="J25" s="182" t="str">
        <f>$B25&amp;": "&amp;$C25</f>
        <v>Table A1: Cash Flows</v>
      </c>
    </row>
    <row r="26" spans="1:10" ht="15" customHeight="1" x14ac:dyDescent="0.35">
      <c r="A26" s="255">
        <f>MAX($A$24:A25)+1</f>
        <v>2</v>
      </c>
      <c r="B26" s="255" t="str">
        <f>$A$4&amp;$C$4&amp;$A26</f>
        <v>Table A2</v>
      </c>
      <c r="C26" s="255" t="s">
        <v>169</v>
      </c>
      <c r="J26" s="182" t="str">
        <f>$B26&amp;": "&amp;$C26</f>
        <v>Table A2: Construction Costs</v>
      </c>
    </row>
    <row r="27" spans="1:10" ht="6" customHeight="1" x14ac:dyDescent="0.35"/>
    <row r="28" spans="1:10" ht="15" customHeight="1" x14ac:dyDescent="0.35">
      <c r="G28" s="38" t="s">
        <v>163</v>
      </c>
      <c r="J28" s="1634" t="s">
        <v>167</v>
      </c>
    </row>
    <row r="29" spans="1:10" ht="15" customHeight="1" x14ac:dyDescent="0.35">
      <c r="A29" s="255">
        <f>MAX($A$28:A28)+1</f>
        <v>1</v>
      </c>
      <c r="B29" s="255" t="str">
        <f>$A$4&amp;$D$4&amp;$A29</f>
        <v>Table B1</v>
      </c>
      <c r="C29" s="255" t="s">
        <v>170</v>
      </c>
      <c r="H29" s="253"/>
      <c r="J29" s="182" t="str">
        <f t="shared" ref="J29:J37" si="5">$B29&amp;": "&amp;$C29</f>
        <v>Table B1: Annual Fixed Operations and Maintenance Costs</v>
      </c>
    </row>
    <row r="30" spans="1:10" ht="15" customHeight="1" x14ac:dyDescent="0.35">
      <c r="A30" s="255">
        <f>MAX($A$28:A29)+1</f>
        <v>2</v>
      </c>
      <c r="B30" s="255" t="str">
        <f t="shared" ref="B30:B37" si="6">$A$4&amp;$D$4&amp;$A30</f>
        <v>Table B2</v>
      </c>
      <c r="C30" s="255" t="s">
        <v>300</v>
      </c>
      <c r="J30" s="182" t="str">
        <f t="shared" si="5"/>
        <v>Table B2: CT Operations and Maintenance Cost Escalation</v>
      </c>
    </row>
    <row r="31" spans="1:10" ht="15" customHeight="1" x14ac:dyDescent="0.35">
      <c r="A31" s="255">
        <f>MAX($A$28:A30)+1</f>
        <v>3</v>
      </c>
      <c r="B31" s="255" t="str">
        <f t="shared" si="6"/>
        <v>Table B3</v>
      </c>
      <c r="C31" s="255" t="s">
        <v>284</v>
      </c>
      <c r="J31" s="182" t="str">
        <f t="shared" si="5"/>
        <v>Table B3: CC Operations and Maintenance Cost Escalation</v>
      </c>
    </row>
    <row r="32" spans="1:10" ht="15" customHeight="1" x14ac:dyDescent="0.35">
      <c r="A32" s="255">
        <f>MAX($A$28:A31)+1</f>
        <v>4</v>
      </c>
      <c r="B32" s="255" t="str">
        <f t="shared" si="6"/>
        <v>Table B4</v>
      </c>
      <c r="C32" s="255" t="s">
        <v>292</v>
      </c>
      <c r="J32" s="182" t="str">
        <f t="shared" si="5"/>
        <v>Table B4: BESS Operations and Maintenance Cost Escalation</v>
      </c>
    </row>
    <row r="33" spans="1:10" ht="15" customHeight="1" x14ac:dyDescent="0.35">
      <c r="A33" s="255">
        <f>MAX($A$28:A32)+1</f>
        <v>5</v>
      </c>
      <c r="B33" s="255" t="str">
        <f t="shared" si="6"/>
        <v>Table B5</v>
      </c>
      <c r="C33" s="255" t="s">
        <v>498</v>
      </c>
      <c r="J33" s="182" t="str">
        <f>$B33&amp;": "&amp;$C33</f>
        <v>Table B5: Annual Property Tax Costs</v>
      </c>
    </row>
    <row r="34" spans="1:10" ht="15" customHeight="1" x14ac:dyDescent="0.35">
      <c r="A34" s="255">
        <f>MAX($A$28:A33)+1</f>
        <v>6</v>
      </c>
      <c r="B34" s="255" t="str">
        <f t="shared" si="6"/>
        <v>Table B6</v>
      </c>
      <c r="C34" s="255" t="s">
        <v>301</v>
      </c>
      <c r="J34" s="182" t="str">
        <f t="shared" si="5"/>
        <v>Table B6: CT Capital Cost Escalation</v>
      </c>
    </row>
    <row r="35" spans="1:10" ht="15" customHeight="1" x14ac:dyDescent="0.35">
      <c r="A35" s="255">
        <f>MAX($A$28:A34)+1</f>
        <v>7</v>
      </c>
      <c r="B35" s="255" t="str">
        <f t="shared" si="6"/>
        <v>Table B7</v>
      </c>
      <c r="C35" s="255" t="s">
        <v>285</v>
      </c>
      <c r="J35" s="182" t="str">
        <f t="shared" si="5"/>
        <v>Table B7: CC Capital Cost Escalation</v>
      </c>
    </row>
    <row r="36" spans="1:10" ht="15" customHeight="1" x14ac:dyDescent="0.35">
      <c r="A36" s="255">
        <f>MAX($A$28:A35)+1</f>
        <v>8</v>
      </c>
      <c r="B36" s="255" t="str">
        <f t="shared" si="6"/>
        <v>Table B8</v>
      </c>
      <c r="C36" s="255" t="s">
        <v>293</v>
      </c>
      <c r="J36" s="182" t="str">
        <f t="shared" si="5"/>
        <v>Table B8: BESS Capital Cost Escalation</v>
      </c>
    </row>
    <row r="37" spans="1:10" ht="15" customHeight="1" x14ac:dyDescent="0.35">
      <c r="A37" s="255">
        <f>MAX($A$28:A36)+1</f>
        <v>9</v>
      </c>
      <c r="B37" s="255" t="str">
        <f t="shared" si="6"/>
        <v>Table B9</v>
      </c>
      <c r="C37" s="255" t="s">
        <v>541</v>
      </c>
      <c r="J37" s="182" t="str">
        <f t="shared" si="5"/>
        <v>Table B9: Cumulative Inflation Rates by Month</v>
      </c>
    </row>
    <row r="38" spans="1:10" ht="6" customHeight="1" x14ac:dyDescent="0.35"/>
    <row r="39" spans="1:10" ht="15" customHeight="1" x14ac:dyDescent="0.35">
      <c r="J39" s="1634" t="s">
        <v>341</v>
      </c>
    </row>
    <row r="40" spans="1:10" ht="15" customHeight="1" x14ac:dyDescent="0.35">
      <c r="A40" s="255">
        <f>MAX($A$39:A39)+1</f>
        <v>1</v>
      </c>
      <c r="B40" s="255" t="str">
        <f t="shared" ref="B40:B53" si="7">$A$4&amp;$E$4&amp;$A40</f>
        <v>Table C1</v>
      </c>
      <c r="C40" s="255" t="s">
        <v>496</v>
      </c>
      <c r="J40" s="182" t="str">
        <f t="shared" ref="J40:J53" si="8">$B40&amp;": "&amp;$C40</f>
        <v>Table C1: Working Capital and Tax Rates</v>
      </c>
    </row>
    <row r="41" spans="1:10" ht="15" customHeight="1" x14ac:dyDescent="0.35">
      <c r="A41" s="255">
        <f>MAX($A$39:A40)+1</f>
        <v>2</v>
      </c>
      <c r="B41" s="255" t="str">
        <f t="shared" si="7"/>
        <v>Table C2</v>
      </c>
      <c r="C41" s="255" t="s">
        <v>25</v>
      </c>
      <c r="J41" s="182" t="str">
        <f t="shared" si="8"/>
        <v>Table C2: Land Cost</v>
      </c>
    </row>
    <row r="42" spans="1:10" ht="15" customHeight="1" x14ac:dyDescent="0.35">
      <c r="A42" s="255">
        <f>MAX($A$39:A41)+1</f>
        <v>3</v>
      </c>
      <c r="B42" s="255" t="str">
        <f t="shared" si="7"/>
        <v>Table C3</v>
      </c>
      <c r="C42" s="255" t="s">
        <v>173</v>
      </c>
      <c r="J42" s="182" t="str">
        <f t="shared" si="8"/>
        <v>Table C3: Tax Depreciation for Property</v>
      </c>
    </row>
    <row r="43" spans="1:10" ht="15" customHeight="1" x14ac:dyDescent="0.35">
      <c r="A43" s="255">
        <f>MAX($A$39:A42)+1</f>
        <v>4</v>
      </c>
      <c r="B43" s="255" t="str">
        <f t="shared" si="7"/>
        <v>Table C4</v>
      </c>
      <c r="C43" s="255" t="s">
        <v>225</v>
      </c>
      <c r="J43" s="182" t="str">
        <f t="shared" si="8"/>
        <v>Table C4: Inflation Forecast</v>
      </c>
    </row>
    <row r="44" spans="1:10" ht="15" customHeight="1" x14ac:dyDescent="0.35">
      <c r="A44" s="255">
        <f>MAX($A$39:A43)+1</f>
        <v>5</v>
      </c>
      <c r="B44" s="255" t="str">
        <f t="shared" si="7"/>
        <v>Table C5</v>
      </c>
      <c r="C44" s="255" t="s">
        <v>227</v>
      </c>
      <c r="J44" s="183" t="str">
        <f t="shared" si="8"/>
        <v>Table C5: BESS Augmentation Cost Trends</v>
      </c>
    </row>
    <row r="45" spans="1:10" ht="15" customHeight="1" x14ac:dyDescent="0.35">
      <c r="A45" s="255">
        <f>MAX($A$39:A44)+1</f>
        <v>6</v>
      </c>
      <c r="B45" s="255" t="str">
        <f t="shared" si="7"/>
        <v>Table C6</v>
      </c>
      <c r="C45" s="255" t="s">
        <v>330</v>
      </c>
      <c r="J45" s="183" t="str">
        <f t="shared" si="8"/>
        <v>Table C6: Property Tax Rates</v>
      </c>
    </row>
    <row r="46" spans="1:10" ht="15" customHeight="1" x14ac:dyDescent="0.35">
      <c r="A46" s="255">
        <f>MAX($A$39:A45)+1</f>
        <v>7</v>
      </c>
      <c r="B46" s="255" t="str">
        <f t="shared" si="7"/>
        <v>Table C7</v>
      </c>
      <c r="C46" s="255" t="s">
        <v>476</v>
      </c>
      <c r="J46" s="183" t="str">
        <f t="shared" si="8"/>
        <v>Table C7: CC + CT Cost Assumptions</v>
      </c>
    </row>
    <row r="47" spans="1:10" ht="15" customHeight="1" x14ac:dyDescent="0.35">
      <c r="A47" s="255">
        <f>MAX($A$39:A46)+1</f>
        <v>8</v>
      </c>
      <c r="B47" s="255" t="str">
        <f t="shared" si="7"/>
        <v>Table C8</v>
      </c>
      <c r="C47" s="255" t="s">
        <v>477</v>
      </c>
      <c r="J47" s="183" t="str">
        <f t="shared" si="8"/>
        <v>Table C8: CC + CT Capital Costs</v>
      </c>
    </row>
    <row r="48" spans="1:10" ht="15" customHeight="1" x14ac:dyDescent="0.35">
      <c r="A48" s="255">
        <f>MAX($A$39:A47)+1</f>
        <v>9</v>
      </c>
      <c r="B48" s="255" t="str">
        <f t="shared" si="7"/>
        <v>Table C9</v>
      </c>
      <c r="C48" s="255" t="s">
        <v>478</v>
      </c>
      <c r="J48" s="182" t="str">
        <f t="shared" si="8"/>
        <v>Table C9: CC + CT Operations and Maintenance Costs</v>
      </c>
    </row>
    <row r="49" spans="1:10" ht="15" customHeight="1" x14ac:dyDescent="0.35">
      <c r="A49" s="255">
        <f>MAX($A$39:A48)+1</f>
        <v>10</v>
      </c>
      <c r="B49" s="255" t="str">
        <f t="shared" si="7"/>
        <v>Table C10</v>
      </c>
      <c r="C49" s="255" t="s">
        <v>294</v>
      </c>
      <c r="J49" s="182" t="str">
        <f t="shared" si="8"/>
        <v>Table C10: BESS Cost Assumptions</v>
      </c>
    </row>
    <row r="50" spans="1:10" ht="15" customHeight="1" x14ac:dyDescent="0.35">
      <c r="A50" s="255">
        <f>MAX($A$39:A49)+1</f>
        <v>11</v>
      </c>
      <c r="B50" s="255" t="str">
        <f t="shared" si="7"/>
        <v>Table C11</v>
      </c>
      <c r="C50" s="255" t="s">
        <v>295</v>
      </c>
      <c r="J50" s="182" t="str">
        <f t="shared" si="8"/>
        <v>Table C11: BESS Capital Costs</v>
      </c>
    </row>
    <row r="51" spans="1:10" ht="15" customHeight="1" x14ac:dyDescent="0.35">
      <c r="A51" s="255">
        <f>MAX($A$39:A50)+1</f>
        <v>12</v>
      </c>
      <c r="B51" s="255" t="str">
        <f t="shared" si="7"/>
        <v>Table C12</v>
      </c>
      <c r="C51" s="255" t="s">
        <v>296</v>
      </c>
      <c r="J51" s="182" t="str">
        <f t="shared" si="8"/>
        <v>Table C12: BESS Operations and Maintenance Costs</v>
      </c>
    </row>
    <row r="52" spans="1:10" ht="15" customHeight="1" x14ac:dyDescent="0.35">
      <c r="A52" s="255">
        <f>MAX($A$39:A51)+1</f>
        <v>13</v>
      </c>
      <c r="B52" s="255" t="str">
        <f t="shared" si="7"/>
        <v>Table C13</v>
      </c>
      <c r="C52" s="255" t="s">
        <v>222</v>
      </c>
      <c r="J52" s="182" t="str">
        <f t="shared" si="8"/>
        <v>Table C13: Augmentation Details</v>
      </c>
    </row>
    <row r="53" spans="1:10" ht="15" customHeight="1" x14ac:dyDescent="0.35">
      <c r="A53" s="255">
        <f>MAX($A$39:A52)+1</f>
        <v>14</v>
      </c>
      <c r="B53" s="255" t="str">
        <f t="shared" si="7"/>
        <v>Table C14</v>
      </c>
      <c r="C53" s="255" t="s">
        <v>286</v>
      </c>
      <c r="J53" s="182" t="str">
        <f t="shared" si="8"/>
        <v>Table C14: Capital Drawdown Schedule</v>
      </c>
    </row>
    <row r="54" spans="1:10" ht="6" customHeight="1" thickBot="1" x14ac:dyDescent="0.4">
      <c r="J54" s="40"/>
    </row>
    <row r="55" spans="1:10" ht="6" customHeight="1" thickTop="1" x14ac:dyDescent="0.35"/>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C746-4B94-4764-B554-6A15C2B50DA8}">
  <sheetPr>
    <pageSetUpPr autoPageBreaks="0"/>
  </sheetPr>
  <dimension ref="A1:E101"/>
  <sheetViews>
    <sheetView showGridLines="0" zoomScale="70" zoomScaleNormal="70" workbookViewId="0"/>
  </sheetViews>
  <sheetFormatPr defaultColWidth="8.7265625" defaultRowHeight="15" customHeight="1" x14ac:dyDescent="0.35"/>
  <cols>
    <col min="1" max="3" width="13.54296875" style="5" customWidth="1"/>
    <col min="4" max="5" width="30.54296875" style="5" customWidth="1"/>
    <col min="6" max="16384" width="8.7265625" style="5"/>
  </cols>
  <sheetData>
    <row r="1" spans="1:5" ht="15" customHeight="1" x14ac:dyDescent="0.35">
      <c r="A1" s="1190" t="s">
        <v>275</v>
      </c>
    </row>
    <row r="3" spans="1:5" ht="15" customHeight="1" x14ac:dyDescent="0.35">
      <c r="D3" s="9"/>
    </row>
    <row r="4" spans="1:5" ht="15" customHeight="1" x14ac:dyDescent="0.35">
      <c r="D4" s="1642" t="s">
        <v>276</v>
      </c>
    </row>
    <row r="5" spans="1:5" ht="6" customHeight="1" thickBot="1" x14ac:dyDescent="0.4">
      <c r="D5" s="20"/>
      <c r="E5" s="20"/>
    </row>
    <row r="6" spans="1:5" ht="6" customHeight="1" thickTop="1" x14ac:dyDescent="0.35"/>
    <row r="7" spans="1:5" ht="15" customHeight="1" x14ac:dyDescent="0.35">
      <c r="D7" s="1191" t="s">
        <v>277</v>
      </c>
    </row>
    <row r="8" spans="1:5" ht="6" customHeight="1" x14ac:dyDescent="0.35"/>
    <row r="9" spans="1:5" ht="15" customHeight="1" x14ac:dyDescent="0.35">
      <c r="D9" s="2184" t="s">
        <v>685</v>
      </c>
      <c r="E9" s="2184"/>
    </row>
    <row r="10" spans="1:5" ht="15" customHeight="1" x14ac:dyDescent="0.35">
      <c r="D10" s="2184"/>
      <c r="E10" s="2184"/>
    </row>
    <row r="11" spans="1:5" ht="15" customHeight="1" x14ac:dyDescent="0.35">
      <c r="D11" s="2184"/>
      <c r="E11" s="2184"/>
    </row>
    <row r="12" spans="1:5" ht="15" customHeight="1" x14ac:dyDescent="0.35">
      <c r="D12" s="2184"/>
      <c r="E12" s="2184"/>
    </row>
    <row r="13" spans="1:5" ht="15" customHeight="1" x14ac:dyDescent="0.35">
      <c r="D13" s="2184"/>
      <c r="E13" s="2184"/>
    </row>
    <row r="14" spans="1:5" ht="15" customHeight="1" x14ac:dyDescent="0.35">
      <c r="D14" s="2184"/>
      <c r="E14" s="2184"/>
    </row>
    <row r="15" spans="1:5" ht="15" customHeight="1" x14ac:dyDescent="0.35">
      <c r="D15" s="2184"/>
      <c r="E15" s="2184"/>
    </row>
    <row r="16" spans="1:5" ht="15" customHeight="1" x14ac:dyDescent="0.35">
      <c r="D16" s="2184"/>
      <c r="E16" s="2184"/>
    </row>
    <row r="17" spans="4:5" ht="15" customHeight="1" x14ac:dyDescent="0.35">
      <c r="D17" s="2184"/>
      <c r="E17" s="2184"/>
    </row>
    <row r="18" spans="4:5" ht="6" customHeight="1" x14ac:dyDescent="0.35">
      <c r="D18" s="10"/>
      <c r="E18" s="10"/>
    </row>
    <row r="19" spans="4:5" ht="6" customHeight="1" x14ac:dyDescent="0.35"/>
    <row r="20" spans="4:5" ht="15" customHeight="1" x14ac:dyDescent="0.35">
      <c r="D20" s="1191" t="s">
        <v>278</v>
      </c>
    </row>
    <row r="21" spans="4:5" ht="6" customHeight="1" x14ac:dyDescent="0.35">
      <c r="D21" s="1191"/>
    </row>
    <row r="22" spans="4:5" ht="15" customHeight="1" x14ac:dyDescent="0.35">
      <c r="D22" s="2184" t="s">
        <v>681</v>
      </c>
      <c r="E22" s="2184"/>
    </row>
    <row r="23" spans="4:5" ht="15" customHeight="1" x14ac:dyDescent="0.35">
      <c r="D23" s="2184"/>
      <c r="E23" s="2184"/>
    </row>
    <row r="24" spans="4:5" ht="15" customHeight="1" x14ac:dyDescent="0.35">
      <c r="D24" s="2184"/>
      <c r="E24" s="2184"/>
    </row>
    <row r="25" spans="4:5" ht="15" customHeight="1" x14ac:dyDescent="0.35">
      <c r="D25" s="2184"/>
      <c r="E25" s="2184"/>
    </row>
    <row r="26" spans="4:5" ht="15" customHeight="1" x14ac:dyDescent="0.35">
      <c r="D26" s="2184"/>
      <c r="E26" s="2184"/>
    </row>
    <row r="27" spans="4:5" ht="15" customHeight="1" x14ac:dyDescent="0.35">
      <c r="D27" s="2184"/>
      <c r="E27" s="2184"/>
    </row>
    <row r="28" spans="4:5" ht="15" customHeight="1" x14ac:dyDescent="0.35">
      <c r="D28" s="2184"/>
      <c r="E28" s="2184"/>
    </row>
    <row r="29" spans="4:5" ht="15" customHeight="1" x14ac:dyDescent="0.35">
      <c r="D29" s="2184"/>
      <c r="E29" s="2184"/>
    </row>
    <row r="30" spans="4:5" ht="15" customHeight="1" x14ac:dyDescent="0.35">
      <c r="D30" s="2184"/>
      <c r="E30" s="2184"/>
    </row>
    <row r="31" spans="4:5" ht="15" customHeight="1" x14ac:dyDescent="0.35">
      <c r="D31" s="2184"/>
      <c r="E31" s="2184"/>
    </row>
    <row r="32" spans="4:5" ht="6" customHeight="1" x14ac:dyDescent="0.35">
      <c r="D32" s="10"/>
      <c r="E32" s="10"/>
    </row>
    <row r="33" spans="4:5" ht="6" customHeight="1" x14ac:dyDescent="0.35"/>
    <row r="34" spans="4:5" ht="15" customHeight="1" x14ac:dyDescent="0.35">
      <c r="D34" s="1191" t="s">
        <v>279</v>
      </c>
    </row>
    <row r="35" spans="4:5" ht="6" customHeight="1" x14ac:dyDescent="0.35">
      <c r="D35" s="1191"/>
    </row>
    <row r="36" spans="4:5" ht="15" customHeight="1" x14ac:dyDescent="0.35">
      <c r="D36" s="2186" t="str">
        <f>"The control tab of the model enables the user to modify inputs and displays the key assumptions underlying the CONE calculation as well as the CONE results. "&amp;"The 'User Controls' section allows the user to customize the output based on a series of switches and inputs. The switches section controls the technology"&amp;" (CT, CC, or BESS), levelization approach (level-real, intermediate, or level-nominal), "&amp;"CONE Area, economic life, and depreciation schedule. The dates, financial inputs, and BESS-specific inputs are user-definable as explained more below "&amp;"while the line items in the 'Calculated Inputs' section are determined from the model inputs automatically."&amp;" The results are shown in the 'Model Outputs' section spanning line items " &amp; Control!F67 &amp; " to " &amp; Control!F93 &amp; ", and the final CONE results are shown in rows " &amp; Control!F76 &amp; " and " &amp; Control!F81 &amp; "."</f>
        <v>The control tab of the model enables the user to modify inputs and displays the key assumptions underlying the CONE calculation as well as the CONE results. The 'User Controls' section allows the user to customize the output based on a series of switches and inputs. The switches section controls the technology (CT, CC, or BESS), levelization approach (level-real, intermediate, or level-nominal), CONE Area, economic life, and depreciation schedule. The dates, financial inputs, and BESS-specific inputs are user-definable as explained more below while the line items in the 'Calculated Inputs' section are determined from the model inputs automatically. The results are shown in the 'Model Outputs' section spanning line items [29] to [50], and the final CONE results are shown in rows [36] and [38].</v>
      </c>
      <c r="E36" s="2186"/>
    </row>
    <row r="37" spans="4:5" ht="15" customHeight="1" x14ac:dyDescent="0.35">
      <c r="D37" s="2186"/>
      <c r="E37" s="2186"/>
    </row>
    <row r="38" spans="4:5" ht="15" customHeight="1" x14ac:dyDescent="0.35">
      <c r="D38" s="2186"/>
      <c r="E38" s="2186"/>
    </row>
    <row r="39" spans="4:5" ht="15" customHeight="1" x14ac:dyDescent="0.35">
      <c r="D39" s="2186"/>
      <c r="E39" s="2186"/>
    </row>
    <row r="40" spans="4:5" ht="15" customHeight="1" x14ac:dyDescent="0.35">
      <c r="D40" s="2186"/>
      <c r="E40" s="2186"/>
    </row>
    <row r="41" spans="4:5" ht="15" customHeight="1" x14ac:dyDescent="0.35">
      <c r="D41" s="2186"/>
      <c r="E41" s="2186"/>
    </row>
    <row r="42" spans="4:5" ht="15" customHeight="1" x14ac:dyDescent="0.35">
      <c r="D42" s="2186"/>
      <c r="E42" s="2186"/>
    </row>
    <row r="43" spans="4:5" ht="15" customHeight="1" x14ac:dyDescent="0.35">
      <c r="D43" s="2186"/>
      <c r="E43" s="2186"/>
    </row>
    <row r="44" spans="4:5" ht="15" customHeight="1" x14ac:dyDescent="0.35">
      <c r="D44" s="2186"/>
      <c r="E44" s="2186"/>
    </row>
    <row r="45" spans="4:5" ht="15" customHeight="1" x14ac:dyDescent="0.35">
      <c r="D45" s="2186"/>
      <c r="E45" s="2186"/>
    </row>
    <row r="46" spans="4:5" ht="15" customHeight="1" x14ac:dyDescent="0.35">
      <c r="D46" s="2186"/>
      <c r="E46" s="2186"/>
    </row>
    <row r="47" spans="4:5" ht="15" customHeight="1" x14ac:dyDescent="0.35">
      <c r="D47" s="2186"/>
      <c r="E47" s="2186"/>
    </row>
    <row r="48" spans="4:5" ht="15" customHeight="1" x14ac:dyDescent="0.35">
      <c r="D48" s="2186"/>
      <c r="E48" s="2186"/>
    </row>
    <row r="49" spans="4:5" ht="6" customHeight="1" x14ac:dyDescent="0.35">
      <c r="D49" s="2127"/>
      <c r="E49" s="2127"/>
    </row>
    <row r="50" spans="4:5" ht="15" customHeight="1" x14ac:dyDescent="0.35">
      <c r="D50" s="2183" t="s">
        <v>686</v>
      </c>
      <c r="E50" s="2183"/>
    </row>
    <row r="51" spans="4:5" ht="15" customHeight="1" x14ac:dyDescent="0.35">
      <c r="D51" s="2183"/>
      <c r="E51" s="2183"/>
    </row>
    <row r="52" spans="4:5" ht="15" customHeight="1" x14ac:dyDescent="0.35">
      <c r="D52" s="2183"/>
      <c r="E52" s="2183"/>
    </row>
    <row r="53" spans="4:5" ht="6" customHeight="1" x14ac:dyDescent="0.35">
      <c r="D53" s="1635"/>
      <c r="E53" s="1635"/>
    </row>
    <row r="54" spans="4:5" ht="15" customHeight="1" x14ac:dyDescent="0.35">
      <c r="D54" s="2183" t="s">
        <v>687</v>
      </c>
      <c r="E54" s="2183"/>
    </row>
    <row r="55" spans="4:5" ht="15" customHeight="1" x14ac:dyDescent="0.35">
      <c r="D55" s="2183"/>
      <c r="E55" s="2183"/>
    </row>
    <row r="56" spans="4:5" ht="15" customHeight="1" x14ac:dyDescent="0.35">
      <c r="D56" s="2183"/>
      <c r="E56" s="2183"/>
    </row>
    <row r="57" spans="4:5" ht="6" customHeight="1" x14ac:dyDescent="0.35">
      <c r="D57" s="1635"/>
      <c r="E57" s="1635"/>
    </row>
    <row r="58" spans="4:5" ht="15" customHeight="1" x14ac:dyDescent="0.35">
      <c r="D58" s="2183" t="s">
        <v>688</v>
      </c>
      <c r="E58" s="2183"/>
    </row>
    <row r="59" spans="4:5" ht="15" customHeight="1" x14ac:dyDescent="0.35">
      <c r="D59" s="2183"/>
      <c r="E59" s="2183"/>
    </row>
    <row r="60" spans="4:5" ht="15" customHeight="1" x14ac:dyDescent="0.35">
      <c r="D60" s="2183"/>
      <c r="E60" s="2183"/>
    </row>
    <row r="61" spans="4:5" ht="6" customHeight="1" x14ac:dyDescent="0.35">
      <c r="D61" s="1635"/>
      <c r="E61" s="1635"/>
    </row>
    <row r="62" spans="4:5" ht="15" customHeight="1" x14ac:dyDescent="0.35">
      <c r="D62" s="2185" t="s">
        <v>692</v>
      </c>
      <c r="E62" s="2185"/>
    </row>
    <row r="63" spans="4:5" ht="15" customHeight="1" x14ac:dyDescent="0.35">
      <c r="D63" s="2185"/>
      <c r="E63" s="2185"/>
    </row>
    <row r="64" spans="4:5" ht="15" customHeight="1" x14ac:dyDescent="0.35">
      <c r="D64" s="2185"/>
      <c r="E64" s="2185"/>
    </row>
    <row r="65" spans="4:5" ht="15" customHeight="1" x14ac:dyDescent="0.35">
      <c r="D65" s="2185"/>
      <c r="E65" s="2185"/>
    </row>
    <row r="66" spans="4:5" ht="15" customHeight="1" x14ac:dyDescent="0.35">
      <c r="D66" s="2185"/>
      <c r="E66" s="2185"/>
    </row>
    <row r="67" spans="4:5" ht="15" customHeight="1" x14ac:dyDescent="0.35">
      <c r="D67" s="2185"/>
      <c r="E67" s="2185"/>
    </row>
    <row r="68" spans="4:5" ht="15" customHeight="1" x14ac:dyDescent="0.35">
      <c r="D68" s="2185"/>
      <c r="E68" s="2185"/>
    </row>
    <row r="69" spans="4:5" ht="15" customHeight="1" x14ac:dyDescent="0.35">
      <c r="D69" s="2185"/>
      <c r="E69" s="2185"/>
    </row>
    <row r="70" spans="4:5" ht="15" customHeight="1" x14ac:dyDescent="0.35">
      <c r="D70" s="2185"/>
      <c r="E70" s="2185"/>
    </row>
    <row r="71" spans="4:5" ht="6" customHeight="1" x14ac:dyDescent="0.35">
      <c r="D71" s="2126"/>
      <c r="E71" s="2126"/>
    </row>
    <row r="72" spans="4:5" ht="15" customHeight="1" x14ac:dyDescent="0.35">
      <c r="D72" s="2183" t="s">
        <v>690</v>
      </c>
      <c r="E72" s="2183"/>
    </row>
    <row r="73" spans="4:5" ht="15" customHeight="1" x14ac:dyDescent="0.35">
      <c r="D73" s="2183"/>
      <c r="E73" s="2183"/>
    </row>
    <row r="74" spans="4:5" ht="15" customHeight="1" x14ac:dyDescent="0.35">
      <c r="D74" s="2183"/>
      <c r="E74" s="2183"/>
    </row>
    <row r="75" spans="4:5" ht="15" customHeight="1" x14ac:dyDescent="0.35">
      <c r="D75" s="2183"/>
      <c r="E75" s="2183"/>
    </row>
    <row r="76" spans="4:5" ht="6" customHeight="1" x14ac:dyDescent="0.35">
      <c r="D76" s="10"/>
      <c r="E76" s="10"/>
    </row>
    <row r="77" spans="4:5" ht="15" customHeight="1" x14ac:dyDescent="0.35">
      <c r="D77" s="1191" t="s">
        <v>676</v>
      </c>
    </row>
    <row r="78" spans="4:5" ht="6" customHeight="1" x14ac:dyDescent="0.35"/>
    <row r="79" spans="4:5" ht="15" customHeight="1" x14ac:dyDescent="0.35">
      <c r="D79" s="2184" t="s">
        <v>697</v>
      </c>
      <c r="E79" s="2184"/>
    </row>
    <row r="80" spans="4:5" ht="15" customHeight="1" x14ac:dyDescent="0.35">
      <c r="D80" s="2184"/>
      <c r="E80" s="2184"/>
    </row>
    <row r="81" spans="4:5" ht="15" customHeight="1" x14ac:dyDescent="0.35">
      <c r="D81" s="2184"/>
      <c r="E81" s="2184"/>
    </row>
    <row r="82" spans="4:5" ht="15" customHeight="1" x14ac:dyDescent="0.35">
      <c r="D82" s="2184"/>
      <c r="E82" s="2184"/>
    </row>
    <row r="83" spans="4:5" ht="15" customHeight="1" x14ac:dyDescent="0.35">
      <c r="D83" s="2184"/>
      <c r="E83" s="2184"/>
    </row>
    <row r="84" spans="4:5" ht="15" customHeight="1" x14ac:dyDescent="0.35">
      <c r="D84" s="2184"/>
      <c r="E84" s="2184"/>
    </row>
    <row r="85" spans="4:5" ht="15" customHeight="1" x14ac:dyDescent="0.35">
      <c r="D85" s="2184"/>
      <c r="E85" s="2184"/>
    </row>
    <row r="86" spans="4:5" ht="15" customHeight="1" x14ac:dyDescent="0.35">
      <c r="D86" s="2184"/>
      <c r="E86" s="2184"/>
    </row>
    <row r="87" spans="4:5" ht="15" customHeight="1" x14ac:dyDescent="0.35">
      <c r="D87" s="2184"/>
      <c r="E87" s="2184"/>
    </row>
    <row r="88" spans="4:5" ht="15" customHeight="1" x14ac:dyDescent="0.35">
      <c r="D88" s="2184"/>
      <c r="E88" s="2184"/>
    </row>
    <row r="89" spans="4:5" ht="5" customHeight="1" x14ac:dyDescent="0.35">
      <c r="D89" s="2184"/>
      <c r="E89" s="2184"/>
    </row>
    <row r="90" spans="4:5" ht="6.5" customHeight="1" x14ac:dyDescent="0.35">
      <c r="D90" s="2184"/>
      <c r="E90" s="2184"/>
    </row>
    <row r="91" spans="4:5" ht="6" customHeight="1" x14ac:dyDescent="0.35">
      <c r="D91" s="2157"/>
      <c r="E91" s="2157"/>
    </row>
    <row r="92" spans="4:5" ht="6" customHeight="1" x14ac:dyDescent="0.35">
      <c r="D92" s="318"/>
      <c r="E92" s="318"/>
    </row>
    <row r="93" spans="4:5" ht="15" customHeight="1" x14ac:dyDescent="0.35">
      <c r="D93" s="1191" t="s">
        <v>280</v>
      </c>
    </row>
    <row r="94" spans="4:5" ht="6" customHeight="1" x14ac:dyDescent="0.35"/>
    <row r="95" spans="4:5" ht="14.5" x14ac:dyDescent="0.35">
      <c r="D95" s="2184" t="s">
        <v>689</v>
      </c>
      <c r="E95" s="2184"/>
    </row>
    <row r="96" spans="4:5" ht="14.5" x14ac:dyDescent="0.35">
      <c r="D96" s="2184"/>
      <c r="E96" s="2184"/>
    </row>
    <row r="97" spans="4:5" ht="14.5" x14ac:dyDescent="0.35">
      <c r="D97" s="2184"/>
      <c r="E97" s="2184"/>
    </row>
    <row r="98" spans="4:5" ht="14.5" x14ac:dyDescent="0.35">
      <c r="D98" s="2184"/>
      <c r="E98" s="2184"/>
    </row>
    <row r="99" spans="4:5" ht="14.5" x14ac:dyDescent="0.35">
      <c r="D99" s="2184"/>
      <c r="E99" s="2184"/>
    </row>
    <row r="100" spans="4:5" ht="6" customHeight="1" thickBot="1" x14ac:dyDescent="0.4">
      <c r="D100" s="1373"/>
      <c r="E100" s="1373"/>
    </row>
    <row r="101" spans="4:5" ht="6" customHeight="1" thickTop="1" x14ac:dyDescent="0.35">
      <c r="D101" s="1193"/>
      <c r="E101" s="1193"/>
    </row>
  </sheetData>
  <mergeCells count="10">
    <mergeCell ref="D9:E17"/>
    <mergeCell ref="D62:E70"/>
    <mergeCell ref="D22:E31"/>
    <mergeCell ref="D36:E48"/>
    <mergeCell ref="D50:E52"/>
    <mergeCell ref="D72:E75"/>
    <mergeCell ref="D95:E99"/>
    <mergeCell ref="D58:E60"/>
    <mergeCell ref="D54:E56"/>
    <mergeCell ref="D79:E90"/>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autoPageBreaks="0"/>
  </sheetPr>
  <dimension ref="A1:KI153"/>
  <sheetViews>
    <sheetView showGridLines="0" zoomScale="70" zoomScaleNormal="70" workbookViewId="0"/>
  </sheetViews>
  <sheetFormatPr defaultRowHeight="14.5" outlineLevelRow="2" outlineLevelCol="1" x14ac:dyDescent="0.35"/>
  <cols>
    <col min="1" max="3" width="13.54296875" customWidth="1"/>
    <col min="4" max="4" width="57.453125" style="82" customWidth="1"/>
    <col min="5" max="5" width="15.26953125" customWidth="1"/>
    <col min="6" max="6" width="9.26953125" customWidth="1"/>
    <col min="7" max="7" width="15.81640625" bestFit="1" customWidth="1"/>
    <col min="8" max="8" width="22.1796875" style="95" bestFit="1" customWidth="1"/>
    <col min="9" max="13" width="13.54296875" customWidth="1"/>
    <col min="14" max="14" width="14.54296875" customWidth="1"/>
    <col min="15" max="15" width="47.453125" style="129" hidden="1" customWidth="1" outlineLevel="1"/>
    <col min="16" max="16" width="34.453125" style="48" hidden="1" customWidth="1" outlineLevel="1"/>
    <col min="17" max="17" width="8.7265625" style="2018" hidden="1" customWidth="1" outlineLevel="1"/>
    <col min="18" max="18" width="9.1796875" style="48" hidden="1" customWidth="1" outlineLevel="1"/>
    <col min="19" max="19" width="8.7265625" collapsed="1"/>
  </cols>
  <sheetData>
    <row r="1" spans="1:295" s="1" customFormat="1" ht="15" customHeight="1" x14ac:dyDescent="0.35">
      <c r="A1" s="81" t="s">
        <v>275</v>
      </c>
      <c r="B1" s="386"/>
      <c r="D1" s="87"/>
      <c r="H1" s="100"/>
      <c r="O1" s="47"/>
      <c r="P1" s="47"/>
      <c r="Q1" s="2017"/>
      <c r="R1" s="47"/>
    </row>
    <row r="2" spans="1:295" s="1" customFormat="1" ht="15" customHeight="1" x14ac:dyDescent="0.35">
      <c r="D2" s="87"/>
      <c r="H2" s="100"/>
      <c r="O2" s="141"/>
      <c r="P2" s="47"/>
      <c r="Q2" s="2017"/>
      <c r="R2" s="47"/>
    </row>
    <row r="3" spans="1:295" s="1" customFormat="1" ht="15" customHeight="1" x14ac:dyDescent="0.35">
      <c r="D3" s="9" t="str">
        <f>D4</f>
        <v>Control Table</v>
      </c>
      <c r="H3" s="100"/>
      <c r="O3" s="141"/>
      <c r="P3" s="47"/>
      <c r="Q3" s="2017"/>
      <c r="R3" s="47"/>
    </row>
    <row r="4" spans="1:295" s="1" customFormat="1" ht="15" customHeight="1" x14ac:dyDescent="0.35">
      <c r="D4" s="1642" t="s">
        <v>0</v>
      </c>
      <c r="H4" s="100"/>
      <c r="O4" s="570"/>
      <c r="P4" s="47"/>
      <c r="Q4" s="2017"/>
      <c r="R4" s="47"/>
    </row>
    <row r="5" spans="1:295" s="1" customFormat="1" ht="6" customHeight="1" thickBot="1" x14ac:dyDescent="0.4">
      <c r="D5" s="90"/>
      <c r="E5" s="3"/>
      <c r="F5" s="3"/>
      <c r="G5" s="3"/>
      <c r="H5" s="101"/>
      <c r="O5" s="141"/>
      <c r="P5" s="47"/>
      <c r="Q5" s="2017"/>
      <c r="R5" s="47"/>
    </row>
    <row r="6" spans="1:295" s="1" customFormat="1" ht="6" customHeight="1" thickTop="1" x14ac:dyDescent="0.35">
      <c r="D6" s="87"/>
      <c r="H6" s="100"/>
      <c r="O6" s="571"/>
      <c r="P6" s="47"/>
      <c r="Q6" s="2017"/>
      <c r="R6" s="47"/>
    </row>
    <row r="7" spans="1:295" s="1" customFormat="1" ht="15" customHeight="1" x14ac:dyDescent="0.35">
      <c r="D7" s="1615" t="s">
        <v>669</v>
      </c>
      <c r="E7" s="1613"/>
      <c r="F7" s="1613"/>
      <c r="G7" s="1613"/>
      <c r="H7" s="1614"/>
      <c r="O7" s="571"/>
      <c r="P7" s="572"/>
      <c r="Q7" s="2017"/>
      <c r="R7" s="47"/>
    </row>
    <row r="8" spans="1:295" s="1" customFormat="1" ht="6" customHeight="1" x14ac:dyDescent="0.35">
      <c r="D8" s="1619"/>
      <c r="E8" s="87"/>
      <c r="F8" s="87"/>
      <c r="G8" s="87"/>
      <c r="H8" s="100"/>
      <c r="O8" s="571"/>
      <c r="P8" s="572"/>
      <c r="Q8" s="2017"/>
      <c r="R8" s="47"/>
    </row>
    <row r="9" spans="1:295" s="1" customFormat="1" ht="15" customHeight="1" x14ac:dyDescent="0.35">
      <c r="D9" s="138" t="s">
        <v>671</v>
      </c>
      <c r="H9" s="100"/>
      <c r="I9" s="1356"/>
      <c r="J9" s="1356"/>
      <c r="K9" s="1356"/>
      <c r="L9" s="1356"/>
      <c r="M9" s="1356"/>
      <c r="O9" s="141"/>
      <c r="P9" s="572"/>
      <c r="Q9" s="2017"/>
      <c r="R9" s="47"/>
    </row>
    <row r="10" spans="1:295" ht="15" customHeight="1" x14ac:dyDescent="0.35">
      <c r="D10" s="46" t="s">
        <v>1</v>
      </c>
      <c r="H10" s="95" t="s">
        <v>283</v>
      </c>
      <c r="I10" s="1353" t="s">
        <v>281</v>
      </c>
      <c r="J10" s="1353" t="s">
        <v>283</v>
      </c>
      <c r="K10" s="1353" t="s">
        <v>282</v>
      </c>
      <c r="L10" s="1354"/>
      <c r="M10" s="1354"/>
      <c r="P10" s="573"/>
      <c r="KI10" s="82"/>
    </row>
    <row r="11" spans="1:295" ht="15" customHeight="1" x14ac:dyDescent="0.35">
      <c r="D11" s="46" t="s">
        <v>287</v>
      </c>
      <c r="H11" s="95" t="s">
        <v>290</v>
      </c>
      <c r="I11" s="1353" t="s">
        <v>288</v>
      </c>
      <c r="J11" s="1353" t="s">
        <v>289</v>
      </c>
      <c r="K11" s="1353" t="s">
        <v>290</v>
      </c>
      <c r="L11" s="1353" t="s">
        <v>291</v>
      </c>
      <c r="M11" s="1353" t="s">
        <v>299</v>
      </c>
      <c r="P11" s="573"/>
    </row>
    <row r="12" spans="1:295" ht="15" customHeight="1" x14ac:dyDescent="0.35">
      <c r="D12" s="46" t="s">
        <v>2</v>
      </c>
      <c r="H12" s="95" t="s">
        <v>23</v>
      </c>
      <c r="I12" s="1353" t="s">
        <v>22</v>
      </c>
      <c r="J12" s="1354" t="s">
        <v>267</v>
      </c>
      <c r="K12" s="1355" t="s">
        <v>23</v>
      </c>
      <c r="L12" s="1354"/>
      <c r="M12" s="1354"/>
      <c r="P12" s="573"/>
    </row>
    <row r="13" spans="1:295" ht="15" customHeight="1" x14ac:dyDescent="0.35">
      <c r="D13" s="46" t="s">
        <v>613</v>
      </c>
      <c r="H13" s="1956"/>
      <c r="I13" s="1353"/>
      <c r="J13" s="1354"/>
      <c r="K13" s="1355"/>
      <c r="L13" s="1354"/>
      <c r="M13" s="1354"/>
      <c r="P13" s="573"/>
    </row>
    <row r="14" spans="1:295" ht="15" customHeight="1" x14ac:dyDescent="0.35">
      <c r="D14" s="46" t="s">
        <v>672</v>
      </c>
      <c r="H14" s="1956"/>
      <c r="I14" s="2096"/>
      <c r="J14" s="1354"/>
      <c r="K14" s="1355"/>
      <c r="L14" s="1354"/>
      <c r="M14" s="1354"/>
      <c r="P14" s="573"/>
    </row>
    <row r="15" spans="1:295" ht="6" customHeight="1" x14ac:dyDescent="0.35">
      <c r="D15" s="46"/>
      <c r="I15" s="1354"/>
      <c r="J15" s="1355"/>
      <c r="K15" s="1354"/>
      <c r="L15" s="1354"/>
      <c r="M15" s="1354"/>
      <c r="P15" s="573"/>
    </row>
    <row r="16" spans="1:295" ht="15" customHeight="1" x14ac:dyDescent="0.35">
      <c r="D16" s="1666" t="s">
        <v>40</v>
      </c>
      <c r="H16" s="1354"/>
      <c r="I16" s="1354"/>
      <c r="J16" s="1355"/>
      <c r="K16" s="1354"/>
      <c r="L16" s="1354"/>
      <c r="M16" s="1354"/>
      <c r="O16" s="142" t="s">
        <v>674</v>
      </c>
      <c r="P16" s="2095"/>
      <c r="Q16" s="2094"/>
    </row>
    <row r="17" spans="1:18" ht="15" customHeight="1" x14ac:dyDescent="0.35">
      <c r="D17" s="2093" t="s">
        <v>215</v>
      </c>
      <c r="H17" s="1354"/>
      <c r="I17" s="1354"/>
      <c r="J17" s="1355"/>
      <c r="K17" s="1354"/>
      <c r="L17" s="1354"/>
      <c r="M17" s="1354"/>
      <c r="O17" s="129" t="str" cm="1">
        <f t="array" ref="O17:O25">_xlfn.VSTACK(TRANSPOSE('Tax Depreciation'!$E$8:$J$8)&amp;" MACRS",TRANSPOSE('Tax Depreciation'!$L$8:$N$8)&amp;" "&amp;"Straight-Line")</f>
        <v>3-year MACRS</v>
      </c>
      <c r="P17" s="129"/>
      <c r="Q17" s="573"/>
    </row>
    <row r="18" spans="1:18" s="1" customFormat="1" ht="15" customHeight="1" x14ac:dyDescent="0.35">
      <c r="A18">
        <v>1</v>
      </c>
      <c r="B18"/>
      <c r="C18"/>
      <c r="D18" s="201" t="s">
        <v>216</v>
      </c>
      <c r="E18"/>
      <c r="F18" s="6" t="str">
        <f t="shared" ref="F18:F39" si="0">"["&amp;A18&amp;"]"</f>
        <v>[1]</v>
      </c>
      <c r="G18" s="82" t="s">
        <v>39</v>
      </c>
      <c r="H18" s="131">
        <f>DATE(2025,1,1)</f>
        <v>45658</v>
      </c>
      <c r="I18" s="2097">
        <v>45658</v>
      </c>
      <c r="J18" s="393"/>
      <c r="K18" s="1356"/>
      <c r="L18" s="1356"/>
      <c r="M18" s="1356"/>
      <c r="O18" s="47" t="str">
        <v>5-year MACRS</v>
      </c>
      <c r="P18" s="47"/>
      <c r="Q18" s="573"/>
      <c r="R18" s="47"/>
    </row>
    <row r="19" spans="1:18" s="1" customFormat="1" ht="15" customHeight="1" x14ac:dyDescent="0.35">
      <c r="A19">
        <f>MAX($A18:A$18)+1</f>
        <v>2</v>
      </c>
      <c r="B19"/>
      <c r="C19"/>
      <c r="D19" s="201" t="s">
        <v>218</v>
      </c>
      <c r="E19"/>
      <c r="F19" s="6" t="str">
        <f>"["&amp;A19&amp;"]"</f>
        <v>[2]</v>
      </c>
      <c r="G19" s="82" t="s">
        <v>39</v>
      </c>
      <c r="H19" s="131">
        <f>DATE(2028,6,1)</f>
        <v>46905</v>
      </c>
      <c r="I19" s="2097">
        <v>46905</v>
      </c>
      <c r="K19" s="2167"/>
      <c r="L19" s="1356"/>
      <c r="M19" s="1356"/>
      <c r="O19" s="47" t="str">
        <v>7-year MACRS</v>
      </c>
      <c r="P19" s="47"/>
      <c r="Q19" s="573"/>
      <c r="R19" s="47"/>
    </row>
    <row r="20" spans="1:18" s="1" customFormat="1" ht="15" customHeight="1" x14ac:dyDescent="0.35">
      <c r="A20"/>
      <c r="B20"/>
      <c r="C20"/>
      <c r="D20" s="46" t="s">
        <v>675</v>
      </c>
      <c r="E20"/>
      <c r="F20" s="6"/>
      <c r="G20" s="82"/>
      <c r="H20" s="131"/>
      <c r="I20" s="1357"/>
      <c r="J20" s="1356"/>
      <c r="K20" s="1356"/>
      <c r="L20" s="1356"/>
      <c r="M20" s="1356"/>
      <c r="O20" s="47" t="str">
        <v>10-year MACRS</v>
      </c>
      <c r="P20" s="47"/>
      <c r="Q20" s="573"/>
      <c r="R20" s="47"/>
    </row>
    <row r="21" spans="1:18" ht="15" customHeight="1" x14ac:dyDescent="0.35">
      <c r="A21">
        <f>MAX($A$18:A20)+1</f>
        <v>3</v>
      </c>
      <c r="D21" s="201" t="s">
        <v>212</v>
      </c>
      <c r="E21" s="82" t="s">
        <v>10</v>
      </c>
      <c r="F21" s="127" t="str">
        <f>"["&amp;A21&amp;"]"</f>
        <v>[3]</v>
      </c>
      <c r="G21" s="82" t="s">
        <v>39</v>
      </c>
      <c r="H21" s="99">
        <v>0</v>
      </c>
      <c r="I21" s="2220">
        <v>0</v>
      </c>
      <c r="J21" s="1361"/>
      <c r="K21" s="1361"/>
      <c r="L21" s="1361"/>
      <c r="M21" s="1361"/>
      <c r="O21" s="47" t="str">
        <v>15-year MACRS</v>
      </c>
      <c r="P21" s="47"/>
      <c r="Q21" s="573"/>
    </row>
    <row r="22" spans="1:18" ht="15" customHeight="1" x14ac:dyDescent="0.35">
      <c r="A22">
        <f>MAX($A$18:A21)+1</f>
        <v>4</v>
      </c>
      <c r="D22" s="201" t="s">
        <v>9</v>
      </c>
      <c r="E22" t="s">
        <v>10</v>
      </c>
      <c r="F22" s="127" t="str">
        <f>"["&amp;A22&amp;"]"</f>
        <v>[4]</v>
      </c>
      <c r="G22" s="82" t="s">
        <v>39</v>
      </c>
      <c r="H22" s="96">
        <v>0.55000000000000004</v>
      </c>
      <c r="I22" s="2221">
        <v>0.55000000000000004</v>
      </c>
      <c r="J22" s="1363"/>
      <c r="K22" s="1363"/>
      <c r="L22" s="1363"/>
      <c r="M22" s="1363"/>
      <c r="N22" s="96"/>
      <c r="O22" s="47" t="str">
        <v>20-year MACRS</v>
      </c>
      <c r="P22" s="47"/>
      <c r="Q22" s="573"/>
    </row>
    <row r="23" spans="1:18" ht="15" customHeight="1" x14ac:dyDescent="0.35">
      <c r="A23">
        <f>MAX($A$18:A22)+1</f>
        <v>5</v>
      </c>
      <c r="D23" s="201" t="s">
        <v>15</v>
      </c>
      <c r="E23" t="s">
        <v>10</v>
      </c>
      <c r="F23" s="127" t="str">
        <f>"["&amp;A23&amp;"]"</f>
        <v>[5]</v>
      </c>
      <c r="G23" s="82" t="s">
        <v>39</v>
      </c>
      <c r="H23" s="96">
        <v>5.8000000000000003E-2</v>
      </c>
      <c r="I23" s="2221">
        <v>5.8000000000000003E-2</v>
      </c>
      <c r="J23" s="2112"/>
      <c r="K23" s="1363"/>
      <c r="L23" s="1363"/>
      <c r="M23" s="1363"/>
      <c r="N23" s="96"/>
      <c r="O23" s="47" t="str">
        <v>5-year Straight-Line</v>
      </c>
      <c r="P23" s="47"/>
      <c r="Q23" s="573"/>
    </row>
    <row r="24" spans="1:18" ht="15" customHeight="1" x14ac:dyDescent="0.35">
      <c r="A24">
        <f>MAX($A$18:A23)+1</f>
        <v>6</v>
      </c>
      <c r="D24" s="201" t="s">
        <v>14</v>
      </c>
      <c r="E24" t="s">
        <v>10</v>
      </c>
      <c r="F24" s="127" t="str">
        <f>"["&amp;A24&amp;"]"</f>
        <v>[6]</v>
      </c>
      <c r="G24" s="82" t="s">
        <v>39</v>
      </c>
      <c r="H24" s="96">
        <v>0.16</v>
      </c>
      <c r="I24" s="2221">
        <v>0.16</v>
      </c>
      <c r="J24" s="1364"/>
      <c r="K24" s="1363"/>
      <c r="L24" s="1363"/>
      <c r="M24" s="1363"/>
      <c r="N24" s="96"/>
      <c r="O24" s="48" t="str">
        <v>10-year Straight-Line</v>
      </c>
      <c r="Q24" s="573"/>
    </row>
    <row r="25" spans="1:18" ht="15" customHeight="1" x14ac:dyDescent="0.35">
      <c r="A25">
        <f>MAX($A$18:A24)+1</f>
        <v>7</v>
      </c>
      <c r="D25" s="201" t="s">
        <v>17</v>
      </c>
      <c r="E25" t="s">
        <v>10</v>
      </c>
      <c r="F25" s="127" t="str">
        <f>"["&amp;A25&amp;"]"</f>
        <v>[7]</v>
      </c>
      <c r="G25" s="82" t="s">
        <v>39</v>
      </c>
      <c r="H25" s="99">
        <v>0</v>
      </c>
      <c r="I25" s="2222">
        <v>0</v>
      </c>
      <c r="J25" s="1360"/>
      <c r="K25" s="1360"/>
      <c r="L25" s="1360"/>
      <c r="M25" s="1360"/>
      <c r="O25" s="48" t="str">
        <v>20-year Straight-Line</v>
      </c>
      <c r="Q25" s="573"/>
    </row>
    <row r="26" spans="1:18" s="1" customFormat="1" ht="15" customHeight="1" x14ac:dyDescent="0.35">
      <c r="A26"/>
      <c r="B26"/>
      <c r="C26"/>
      <c r="D26" s="46" t="s">
        <v>673</v>
      </c>
      <c r="E26"/>
      <c r="F26" s="6"/>
      <c r="G26" s="82"/>
      <c r="H26" s="131"/>
      <c r="I26" s="1357"/>
      <c r="J26" s="1356"/>
      <c r="K26" s="1356"/>
      <c r="L26" s="1356"/>
      <c r="M26" s="1356"/>
      <c r="O26" s="129"/>
      <c r="P26" s="47"/>
      <c r="Q26" s="573"/>
      <c r="R26" s="47"/>
    </row>
    <row r="27" spans="1:18" ht="15" customHeight="1" x14ac:dyDescent="0.35">
      <c r="A27" s="326">
        <f>MAX($A$18:A26)+1</f>
        <v>8</v>
      </c>
      <c r="D27" s="201" t="s">
        <v>237</v>
      </c>
      <c r="E27" s="82" t="s">
        <v>10</v>
      </c>
      <c r="F27" s="127" t="str">
        <f>"["&amp;A27&amp;"]"</f>
        <v>[8]</v>
      </c>
      <c r="G27" s="82" t="s">
        <v>39</v>
      </c>
      <c r="H27" s="2223">
        <v>0.3</v>
      </c>
      <c r="I27" s="1340">
        <v>0.3</v>
      </c>
      <c r="J27" s="1337"/>
      <c r="K27" s="1360"/>
      <c r="L27" s="1360"/>
      <c r="M27" s="1360"/>
      <c r="O27" s="142"/>
      <c r="P27" s="2136"/>
    </row>
    <row r="28" spans="1:18" ht="15" customHeight="1" x14ac:dyDescent="0.35">
      <c r="A28" s="326">
        <f>MAX($A$18:A27)+1</f>
        <v>9</v>
      </c>
      <c r="D28" s="202" t="s">
        <v>257</v>
      </c>
      <c r="E28" s="82" t="s">
        <v>10</v>
      </c>
      <c r="F28" s="127" t="str">
        <f>"["&amp;A28&amp;"]"</f>
        <v>[9]</v>
      </c>
      <c r="G28" s="87" t="s">
        <v>39</v>
      </c>
      <c r="H28" s="2224">
        <v>0.5</v>
      </c>
      <c r="I28" s="1340">
        <v>0.5</v>
      </c>
      <c r="J28" s="1360"/>
      <c r="K28" s="1360"/>
      <c r="L28" s="1360"/>
      <c r="M28" s="1360"/>
      <c r="O28" s="142"/>
      <c r="P28" s="2164"/>
    </row>
    <row r="29" spans="1:18" ht="15" customHeight="1" x14ac:dyDescent="0.35">
      <c r="A29" s="326">
        <f>MAX($A$18:A28)+1</f>
        <v>10</v>
      </c>
      <c r="D29" s="201" t="s">
        <v>668</v>
      </c>
      <c r="E29" s="82" t="s">
        <v>506</v>
      </c>
      <c r="F29" s="127" t="str">
        <f>"["&amp;A29&amp;"]"</f>
        <v>[10]</v>
      </c>
      <c r="G29" s="87" t="s">
        <v>39</v>
      </c>
      <c r="H29" s="95">
        <v>1</v>
      </c>
      <c r="I29" s="2228">
        <v>1</v>
      </c>
      <c r="J29" s="1360"/>
      <c r="K29" s="1360"/>
      <c r="L29" s="1360"/>
      <c r="M29" s="1360"/>
    </row>
    <row r="30" spans="1:18" ht="15" customHeight="1" x14ac:dyDescent="0.35">
      <c r="A30" s="326">
        <f>MAX($A$18:A29)+1</f>
        <v>11</v>
      </c>
      <c r="D30" s="202" t="s">
        <v>546</v>
      </c>
      <c r="E30" s="82"/>
      <c r="F30" s="127" t="str">
        <f>"["&amp;A30&amp;"]"</f>
        <v>[11]</v>
      </c>
      <c r="G30" s="87" t="s">
        <v>39</v>
      </c>
      <c r="H30" s="1336">
        <v>2030</v>
      </c>
      <c r="I30" s="2229">
        <f>YEAR(H18)+5</f>
        <v>2030</v>
      </c>
      <c r="J30" s="1667"/>
      <c r="K30" s="1360"/>
      <c r="L30" s="1360"/>
      <c r="M30" s="1360"/>
    </row>
    <row r="31" spans="1:18" ht="6" customHeight="1" x14ac:dyDescent="0.35">
      <c r="A31" s="326"/>
      <c r="D31" s="2105"/>
      <c r="E31" s="1181"/>
      <c r="F31" s="2106"/>
      <c r="G31" s="2111"/>
      <c r="H31" s="2107"/>
      <c r="I31" s="1667"/>
      <c r="J31" s="1667"/>
      <c r="K31" s="1360"/>
      <c r="L31" s="1360"/>
      <c r="M31" s="1360"/>
    </row>
    <row r="32" spans="1:18" s="1" customFormat="1" ht="6" customHeight="1" x14ac:dyDescent="0.35">
      <c r="A32"/>
      <c r="B32"/>
      <c r="C32"/>
      <c r="D32" s="2108"/>
      <c r="E32" s="311"/>
      <c r="F32" s="2109"/>
      <c r="G32" s="1184"/>
      <c r="H32" s="2110"/>
      <c r="I32" s="1357"/>
      <c r="J32" s="1356"/>
      <c r="K32" s="1356"/>
      <c r="L32" s="1356"/>
      <c r="M32" s="1356"/>
      <c r="O32" s="129"/>
      <c r="P32" s="47"/>
      <c r="Q32" s="2017"/>
      <c r="R32" s="47"/>
    </row>
    <row r="33" spans="1:18" s="1" customFormat="1" ht="15" customHeight="1" x14ac:dyDescent="0.35">
      <c r="D33" s="1615" t="s">
        <v>670</v>
      </c>
      <c r="E33" s="1613"/>
      <c r="F33" s="1613"/>
      <c r="G33" s="1613"/>
      <c r="H33" s="1614"/>
      <c r="O33" s="129"/>
      <c r="P33" s="572"/>
      <c r="Q33" s="2017"/>
      <c r="R33" s="47"/>
    </row>
    <row r="34" spans="1:18" s="1" customFormat="1" ht="6" customHeight="1" x14ac:dyDescent="0.35">
      <c r="D34" s="87"/>
      <c r="G34" s="87"/>
      <c r="H34" s="100"/>
      <c r="I34" s="1356"/>
      <c r="J34" s="1356"/>
      <c r="K34" s="1356"/>
      <c r="L34" s="1356"/>
      <c r="M34" s="1356"/>
      <c r="O34" s="129"/>
      <c r="P34" s="47"/>
      <c r="Q34" s="2017"/>
      <c r="R34" s="47"/>
    </row>
    <row r="35" spans="1:18" s="1" customFormat="1" ht="15" customHeight="1" x14ac:dyDescent="0.35">
      <c r="A35"/>
      <c r="B35"/>
      <c r="C35"/>
      <c r="D35" s="1666" t="s">
        <v>215</v>
      </c>
      <c r="E35"/>
      <c r="F35" s="6"/>
      <c r="G35" s="82"/>
      <c r="H35" s="131"/>
      <c r="I35" s="1357"/>
      <c r="J35" s="1356"/>
      <c r="K35" s="1356"/>
      <c r="L35" s="1356"/>
      <c r="M35" s="1356"/>
      <c r="O35" s="129"/>
      <c r="P35" s="47"/>
      <c r="Q35" s="2017"/>
      <c r="R35" s="47"/>
    </row>
    <row r="36" spans="1:18" s="1" customFormat="1" ht="15" customHeight="1" x14ac:dyDescent="0.35">
      <c r="A36">
        <f>MAX($A$18:A35)+1</f>
        <v>12</v>
      </c>
      <c r="B36"/>
      <c r="C36"/>
      <c r="D36" s="46" t="s">
        <v>514</v>
      </c>
      <c r="E36"/>
      <c r="F36" s="6" t="str">
        <f t="shared" si="0"/>
        <v>[12]</v>
      </c>
      <c r="G36" s="82" t="s">
        <v>39</v>
      </c>
      <c r="H36" s="131">
        <f>_xlfn.XLOOKUP($H$10,$I$10:$K$10,$I$36:$K$36)</f>
        <v>45383</v>
      </c>
      <c r="I36" s="1352">
        <f>EDATE($H$19,-_xlfn.XLOOKUP(I$10,'S&amp;L Capital Drawdown Schedule'!$BI$11:$BI$13,'S&amp;L Capital Drawdown Schedule'!$E$11:$E$13))</f>
        <v>45566</v>
      </c>
      <c r="J36" s="1352">
        <f>EDATE($H$19,-_xlfn.XLOOKUP(J$10,'S&amp;L Capital Drawdown Schedule'!$BI$11:$BI$13,'S&amp;L Capital Drawdown Schedule'!$E$11:$E$13))</f>
        <v>45383</v>
      </c>
      <c r="K36" s="1352">
        <f>EDATE($H$19,-_xlfn.XLOOKUP(K$10,'S&amp;L Capital Drawdown Schedule'!$BI$11:$BI$13,'S&amp;L Capital Drawdown Schedule'!$E$11:$E$13))</f>
        <v>46296</v>
      </c>
      <c r="L36" s="1356"/>
      <c r="M36" s="1356"/>
      <c r="O36" s="47"/>
      <c r="P36" s="47"/>
      <c r="Q36" s="2017"/>
      <c r="R36" s="47"/>
    </row>
    <row r="37" spans="1:18" s="1" customFormat="1" ht="15" customHeight="1" x14ac:dyDescent="0.35">
      <c r="A37">
        <f>MAX($A$18:A36)+1</f>
        <v>13</v>
      </c>
      <c r="B37"/>
      <c r="C37"/>
      <c r="D37" s="46" t="s">
        <v>505</v>
      </c>
      <c r="E37"/>
      <c r="F37" s="6" t="str">
        <f t="shared" si="0"/>
        <v>[13]</v>
      </c>
      <c r="G37" s="82" t="s">
        <v>39</v>
      </c>
      <c r="H37" s="1089">
        <f>_xlfn.XLOOKUP($H$10,$I$10:$K$10,$I$37:$K$37)</f>
        <v>5</v>
      </c>
      <c r="I37" s="1358">
        <v>5</v>
      </c>
      <c r="J37" s="1359">
        <v>5</v>
      </c>
      <c r="K37" s="1359">
        <v>4</v>
      </c>
      <c r="L37" s="1356"/>
      <c r="M37" s="1356"/>
      <c r="O37" s="47"/>
      <c r="P37" s="47"/>
      <c r="Q37" s="2017"/>
      <c r="R37" s="47"/>
    </row>
    <row r="38" spans="1:18" s="1" customFormat="1" ht="15" customHeight="1" x14ac:dyDescent="0.35">
      <c r="A38">
        <f>MAX($A$18:A37)+1</f>
        <v>14</v>
      </c>
      <c r="B38"/>
      <c r="C38"/>
      <c r="D38" s="46" t="s">
        <v>614</v>
      </c>
      <c r="E38"/>
      <c r="F38" s="6" t="str">
        <f t="shared" si="0"/>
        <v>[14]</v>
      </c>
      <c r="G38" s="82" t="str">
        <f>F36&amp;" + "&amp;F37</f>
        <v>[12] + [13]</v>
      </c>
      <c r="H38" s="131">
        <f>EDATE(H$36,H$37)</f>
        <v>45536</v>
      </c>
      <c r="I38" s="1352">
        <f>EDATE(I$36,I$37)</f>
        <v>45717</v>
      </c>
      <c r="J38" s="1352">
        <f>EDATE(J$36,J$37)</f>
        <v>45536</v>
      </c>
      <c r="K38" s="1352">
        <f>EDATE(K$36,K$37)</f>
        <v>46419</v>
      </c>
      <c r="L38" s="1356"/>
      <c r="M38" s="1356"/>
      <c r="O38" s="141"/>
      <c r="P38" s="47"/>
      <c r="Q38" s="2017"/>
      <c r="R38" s="47"/>
    </row>
    <row r="39" spans="1:18" s="1" customFormat="1" ht="15" customHeight="1" x14ac:dyDescent="0.35">
      <c r="A39">
        <f>MAX($A$18:A38)+1</f>
        <v>15</v>
      </c>
      <c r="B39"/>
      <c r="C39"/>
      <c r="D39" s="46" t="s">
        <v>217</v>
      </c>
      <c r="E39" s="82"/>
      <c r="F39" s="127" t="str">
        <f t="shared" si="0"/>
        <v>[15]</v>
      </c>
      <c r="G39" s="82" t="s">
        <v>39</v>
      </c>
      <c r="H39" s="131">
        <f>EDATE($H$19,-INDEX('S&amp;L Capital Drawdown Schedule'!$E$11:$E$13,MATCH($H$10,'S&amp;L Capital Drawdown Schedule'!$BI$11:$BI$13,0))+INDEX('S&amp;L Capital Drawdown Schedule'!$F$11:$F$13,MATCH($H$10,'S&amp;L Capital Drawdown Schedule'!$BI$11:$BI$13,0)))</f>
        <v>45870</v>
      </c>
      <c r="I39" s="1352">
        <f>EDATE($H$19,-INDEX('S&amp;L Capital Drawdown Schedule'!$E$11:$E$13,MATCH(I$10,'S&amp;L Capital Drawdown Schedule'!$BI$11:$BI$13,0))+INDEX('S&amp;L Capital Drawdown Schedule'!$F$11:$F$13,MATCH(I$10,'S&amp;L Capital Drawdown Schedule'!$BI$11:$BI$13,0)))</f>
        <v>46023</v>
      </c>
      <c r="J39" s="1352">
        <f>EDATE($H$19,-INDEX('S&amp;L Capital Drawdown Schedule'!$E$11:$E$13,MATCH(J$10,'S&amp;L Capital Drawdown Schedule'!$BI$11:$BI$13,0))+INDEX('S&amp;L Capital Drawdown Schedule'!$F$11:$F$13,MATCH(J$10,'S&amp;L Capital Drawdown Schedule'!$BI$11:$BI$13,0)))</f>
        <v>45870</v>
      </c>
      <c r="K39" s="1352">
        <f>EDATE($H$19,-INDEX('S&amp;L Capital Drawdown Schedule'!$E$11:$E$13,MATCH(K$10,'S&amp;L Capital Drawdown Schedule'!$BI$11:$BI$13,0))+INDEX('S&amp;L Capital Drawdown Schedule'!$F$11:$F$13,MATCH(K$10,'S&amp;L Capital Drawdown Schedule'!$BI$11:$BI$13,0)))</f>
        <v>46600</v>
      </c>
      <c r="L39" s="1356"/>
      <c r="M39" s="1356"/>
      <c r="O39" s="141"/>
      <c r="P39" s="47"/>
      <c r="Q39" s="2017"/>
      <c r="R39" s="47"/>
    </row>
    <row r="40" spans="1:18" s="1" customFormat="1" ht="6" customHeight="1" x14ac:dyDescent="0.35">
      <c r="A40"/>
      <c r="B40"/>
      <c r="C40"/>
      <c r="D40" s="46"/>
      <c r="E40" s="82"/>
      <c r="F40" s="127"/>
      <c r="G40" s="82"/>
      <c r="H40" s="131"/>
      <c r="I40" s="1352"/>
      <c r="J40" s="1352"/>
      <c r="K40" s="1352"/>
      <c r="L40" s="1356"/>
      <c r="M40" s="1356"/>
      <c r="O40" s="141"/>
      <c r="P40" s="47"/>
      <c r="Q40" s="2017"/>
      <c r="R40" s="47"/>
    </row>
    <row r="41" spans="1:18" ht="15" customHeight="1" x14ac:dyDescent="0.35">
      <c r="D41" s="138" t="s">
        <v>587</v>
      </c>
      <c r="G41" s="82"/>
      <c r="I41" s="1360"/>
      <c r="J41" s="1360"/>
      <c r="K41" s="1360"/>
      <c r="L41" s="1360"/>
      <c r="M41" s="1360"/>
      <c r="O41" s="142" t="s">
        <v>174</v>
      </c>
      <c r="P41" s="49" t="s">
        <v>175</v>
      </c>
    </row>
    <row r="42" spans="1:18" ht="15" customHeight="1" x14ac:dyDescent="0.35">
      <c r="A42">
        <f>MAX($A$18:A41)+1</f>
        <v>16</v>
      </c>
      <c r="D42" s="46" t="s">
        <v>487</v>
      </c>
      <c r="E42" t="s">
        <v>4</v>
      </c>
      <c r="F42" s="127" t="str">
        <f>"["&amp;A42&amp;"]"</f>
        <v>[16]</v>
      </c>
      <c r="G42" s="82" t="s">
        <v>39</v>
      </c>
      <c r="H42" s="103">
        <f>IF($H$10=$I10,INDEX('S&amp;L CC+CT - Cost Assumptions'!$F$13:$J$64,MATCH($O$42,'S&amp;L CC+CT - Cost Assumptions'!$D$13:$D$59,0),MATCH($H$11,'S&amp;L CC+CT - Cost Assumptions'!$F$7:$J$7,0)),IF($H$10=$J$10,INDEX('S&amp;L CC+CT - Cost Assumptions'!$K$17:$O$59,MATCH($O$42,'S&amp;L CC+CT - Cost Assumptions'!$D$17:$D$59,0),MATCH($H$11,'S&amp;L CC+CT - Cost Assumptions'!$K$7:$O$7,0)),INDEX('S&amp;L BESS - Cost Assumptions'!$F$12:$J$65,MATCH(Control!$P42,'S&amp;L BESS - Cost Assumptions'!$D$12:$D$65,0),MATCH($H$11,'S&amp;L BESS - Cost Assumptions'!$F$7:$J$7,0))))</f>
        <v>1276.144</v>
      </c>
      <c r="I42" s="1360"/>
      <c r="J42" s="1360"/>
      <c r="K42" s="1360"/>
      <c r="L42" s="1360"/>
      <c r="M42" s="1360"/>
      <c r="O42" s="129" t="str">
        <f>'S&amp;L CC+CT - Cost Assumptions'!$D$17</f>
        <v>Net Plant Capacity - Max Summer</v>
      </c>
      <c r="P42" s="129" t="str">
        <f>'S&amp;L BESS - Cost Assumptions'!$D$13</f>
        <v>Rated Output Power (POI Rating)</v>
      </c>
    </row>
    <row r="43" spans="1:18" ht="6" customHeight="1" x14ac:dyDescent="0.35">
      <c r="G43" s="82"/>
      <c r="I43" s="1360"/>
      <c r="J43" s="1360"/>
      <c r="K43" s="1360"/>
      <c r="L43" s="1360"/>
      <c r="M43" s="1360"/>
    </row>
    <row r="44" spans="1:18" ht="15" customHeight="1" x14ac:dyDescent="0.35">
      <c r="D44" s="138" t="s">
        <v>249</v>
      </c>
      <c r="G44" s="82"/>
      <c r="I44" s="1361"/>
      <c r="J44" s="1361"/>
      <c r="K44" s="1361"/>
      <c r="L44" s="1361"/>
      <c r="M44" s="1361"/>
    </row>
    <row r="45" spans="1:18" ht="15" customHeight="1" x14ac:dyDescent="0.35">
      <c r="A45">
        <f>MAX($A$18:A44)+1</f>
        <v>17</v>
      </c>
      <c r="D45" s="46" t="s">
        <v>8</v>
      </c>
      <c r="E45" t="s">
        <v>118</v>
      </c>
      <c r="F45" s="127" t="str">
        <f t="shared" ref="F45:F53" si="1">"["&amp;A45&amp;"]"</f>
        <v>[17]</v>
      </c>
      <c r="G45" s="82" t="s">
        <v>39</v>
      </c>
      <c r="H45" s="1937">
        <f>IF(H13&gt;0,H13,IF(AND(H11=$M$11,OR(H10=$I$10,H10=$J$10)),2045-(YEAR($H$19)+MROUND(MONTH($H$19)/12,0.5)),20))</f>
        <v>20</v>
      </c>
      <c r="I45" s="2098"/>
      <c r="J45" s="1359"/>
      <c r="K45" s="1844"/>
      <c r="L45" s="1844"/>
      <c r="M45" s="1844"/>
      <c r="N45" s="1844"/>
    </row>
    <row r="46" spans="1:18" ht="15" customHeight="1" x14ac:dyDescent="0.35">
      <c r="A46">
        <f>MAX($A$18:A45)+1</f>
        <v>18</v>
      </c>
      <c r="D46" s="46" t="s">
        <v>224</v>
      </c>
      <c r="E46" t="str">
        <f>"%"</f>
        <v>%</v>
      </c>
      <c r="F46" s="127" t="str">
        <f t="shared" si="1"/>
        <v>[18]</v>
      </c>
      <c r="G46" s="82" t="s">
        <v>39</v>
      </c>
      <c r="H46" s="99" cm="1">
        <f t="array" ref="H46">_xlfn.IFS($H$12=$I$12,$H$53,$H$12=$J$12,1.1%,$H$12=$K$12,0%)</f>
        <v>0</v>
      </c>
      <c r="I46" s="1362"/>
      <c r="J46" s="1361"/>
      <c r="K46" s="1361"/>
      <c r="L46" s="1361"/>
      <c r="M46" s="1361"/>
      <c r="O46" s="129" t="s">
        <v>246</v>
      </c>
    </row>
    <row r="47" spans="1:18" ht="15" customHeight="1" x14ac:dyDescent="0.35">
      <c r="D47" s="46" t="s">
        <v>270</v>
      </c>
      <c r="F47" s="127"/>
      <c r="G47" s="82"/>
      <c r="H47" s="99"/>
      <c r="I47" s="1362"/>
      <c r="J47" s="1361"/>
      <c r="K47" s="1361"/>
      <c r="L47" s="1361"/>
      <c r="M47" s="1361"/>
    </row>
    <row r="48" spans="1:18" ht="15" customHeight="1" x14ac:dyDescent="0.35">
      <c r="A48">
        <f>MAX($A$18:A47)+1</f>
        <v>19</v>
      </c>
      <c r="D48" s="201" t="s">
        <v>13</v>
      </c>
      <c r="E48" t="s">
        <v>10</v>
      </c>
      <c r="F48" s="127" t="str">
        <f t="shared" si="1"/>
        <v>[19]</v>
      </c>
      <c r="G48" s="82" t="str">
        <f>'Working Cap and Tax Rates'!$D$3</f>
        <v>Table C1</v>
      </c>
      <c r="H48" s="96">
        <f>INDEX('Working Cap and Tax Rates'!$G$8:$G$20, MATCH(Control!$P48, 'Working Cap and Tax Rates'!$D$8:$D$20, 0))</f>
        <v>0.21</v>
      </c>
      <c r="I48" s="1364"/>
      <c r="J48" s="1360"/>
      <c r="K48" s="1360"/>
      <c r="L48" s="1360"/>
      <c r="M48" s="1360"/>
      <c r="P48" s="48" t="str">
        <f>'Working Cap and Tax Rates'!$D$12</f>
        <v>Corporate Income Tax Rate, Federal</v>
      </c>
    </row>
    <row r="49" spans="1:18" ht="15" customHeight="1" x14ac:dyDescent="0.35">
      <c r="A49">
        <f>MAX($A$18:A48)+1</f>
        <v>20</v>
      </c>
      <c r="D49" s="201" t="s">
        <v>12</v>
      </c>
      <c r="E49" t="s">
        <v>10</v>
      </c>
      <c r="F49" s="127" t="str">
        <f t="shared" si="1"/>
        <v>[20]</v>
      </c>
      <c r="G49" s="82" t="str">
        <f>'Working Cap and Tax Rates'!$D$3</f>
        <v>Table C1</v>
      </c>
      <c r="H49" s="96">
        <f>INDEX('Working Cap and Tax Rates'!$G$8:$K$20, MATCH(Control!$P49, 'Working Cap and Tax Rates'!$D$8:$D$20, 0),MATCH($H$11,'Working Cap and Tax Rates'!$G$16:$K$16,0))</f>
        <v>7.9899999999999999E-2</v>
      </c>
      <c r="I49" s="1363"/>
      <c r="J49" s="1363"/>
      <c r="K49" s="1363"/>
      <c r="L49" s="1363"/>
      <c r="M49" s="1363"/>
      <c r="N49" s="96"/>
      <c r="P49" s="48" t="str">
        <f>'Working Cap and Tax Rates'!$D$20</f>
        <v>Corporate Income Tax Rate, State</v>
      </c>
    </row>
    <row r="50" spans="1:18" ht="15" customHeight="1" x14ac:dyDescent="0.35">
      <c r="D50" s="46" t="s">
        <v>272</v>
      </c>
      <c r="F50" s="127"/>
      <c r="G50" s="82"/>
      <c r="H50" s="96"/>
      <c r="I50" s="1363"/>
      <c r="J50" s="1363"/>
      <c r="K50" s="1363"/>
      <c r="L50" s="1363"/>
      <c r="M50" s="1363"/>
      <c r="N50" s="96"/>
    </row>
    <row r="51" spans="1:18" ht="15" customHeight="1" x14ac:dyDescent="0.35">
      <c r="A51">
        <f>MAX($A$18:A50)+1</f>
        <v>21</v>
      </c>
      <c r="D51" s="201" t="s">
        <v>16</v>
      </c>
      <c r="E51" s="82"/>
      <c r="F51" s="127" t="str">
        <f t="shared" si="1"/>
        <v>[21]</v>
      </c>
      <c r="G51" s="82" t="s">
        <v>39</v>
      </c>
      <c r="H51" s="95" t="str">
        <f>IF($H$14=0,IF($H$10=I$10,"15-year MACRS",IF($H$10=J10,"20-Year MACRS","7-year MACRS")),$H$14)</f>
        <v>20-Year MACRS</v>
      </c>
      <c r="I51" s="1365"/>
      <c r="J51" s="1365"/>
      <c r="K51" s="1365"/>
      <c r="L51" s="1365"/>
      <c r="M51" s="1365"/>
      <c r="N51" s="194"/>
    </row>
    <row r="52" spans="1:18" ht="15" customHeight="1" x14ac:dyDescent="0.35">
      <c r="D52" s="46" t="s">
        <v>271</v>
      </c>
      <c r="F52" s="127"/>
      <c r="G52" s="82"/>
      <c r="H52" s="99"/>
      <c r="I52" s="1360"/>
      <c r="J52" s="1360"/>
      <c r="K52" s="1360"/>
      <c r="L52" s="1360"/>
      <c r="M52" s="1360"/>
    </row>
    <row r="53" spans="1:18" ht="15" customHeight="1" x14ac:dyDescent="0.35">
      <c r="A53" s="326">
        <f>MAX($A$18:A52)+1</f>
        <v>22</v>
      </c>
      <c r="D53" s="201" t="str">
        <f>"Average Inflation Forecast, "&amp;O53&amp;" through End of Life"</f>
        <v>Average Inflation Forecast, 2028 through End of Life</v>
      </c>
      <c r="E53" s="82" t="s">
        <v>10</v>
      </c>
      <c r="F53" s="127" t="str">
        <f t="shared" si="1"/>
        <v>[22]</v>
      </c>
      <c r="G53" s="82" t="str">
        <f>'Inflation Forecast'!$D$3</f>
        <v>Table C4</v>
      </c>
      <c r="H53" s="99">
        <f>AVERAGEIFS('Inflation Forecast'!$E$11:$E$41,'Inflation Forecast'!$D$11:$D$41,"&gt;="&amp;$O$53,'Inflation Forecast'!$D$11:$D$41,"&lt;="&amp;$P$53)</f>
        <v>2.50508512598447E-2</v>
      </c>
      <c r="I53" s="1366"/>
      <c r="J53" s="1366"/>
      <c r="K53" s="1360"/>
      <c r="L53" s="1360"/>
      <c r="M53" s="1360"/>
      <c r="O53" s="185">
        <f>YEAR($H$19)</f>
        <v>2028</v>
      </c>
      <c r="P53" s="185">
        <f>O53+$H$45</f>
        <v>2048</v>
      </c>
    </row>
    <row r="54" spans="1:18" ht="15" customHeight="1" x14ac:dyDescent="0.35">
      <c r="A54" s="326"/>
      <c r="D54" s="46" t="s">
        <v>547</v>
      </c>
      <c r="E54" s="82"/>
      <c r="F54" s="127"/>
      <c r="G54" s="87"/>
      <c r="H54" s="1150"/>
      <c r="I54" s="1360"/>
      <c r="J54" s="1360"/>
      <c r="K54" s="1360"/>
      <c r="L54" s="1360"/>
      <c r="M54" s="1360"/>
    </row>
    <row r="55" spans="1:18" ht="15" customHeight="1" x14ac:dyDescent="0.35">
      <c r="A55" s="326">
        <f>MAX($A$18:A54)+1</f>
        <v>23</v>
      </c>
      <c r="D55" s="202" t="s">
        <v>531</v>
      </c>
      <c r="E55" s="82"/>
      <c r="F55" s="127" t="str">
        <f t="shared" ref="F55:F56" si="2">"["&amp;A55&amp;"]"</f>
        <v>[23]</v>
      </c>
      <c r="G55" s="87" t="str">
        <f>'S&amp;L Augmentation Details'!$D$3</f>
        <v>Table C13</v>
      </c>
      <c r="H55" s="1336">
        <f>COUNTA('S&amp;L Augmentation Details'!$G$7:$K$7)</f>
        <v>5</v>
      </c>
      <c r="I55" s="1360"/>
      <c r="J55" s="1360"/>
      <c r="K55" s="1360"/>
      <c r="L55" s="1360"/>
      <c r="M55" s="1360"/>
    </row>
    <row r="56" spans="1:18" ht="15" customHeight="1" x14ac:dyDescent="0.35">
      <c r="A56" s="326">
        <f>MAX($A$18:A55)+1</f>
        <v>24</v>
      </c>
      <c r="D56" s="202" t="s">
        <v>532</v>
      </c>
      <c r="E56" s="82" t="s">
        <v>118</v>
      </c>
      <c r="F56" s="127" t="str">
        <f t="shared" si="2"/>
        <v>[24]</v>
      </c>
      <c r="G56" s="87" t="str">
        <f>'S&amp;L Augmentation Details'!$D$3</f>
        <v>Table C13</v>
      </c>
      <c r="H56" s="391">
        <f>_xlfn.XLOOKUP('S&amp;L Augmentation Details'!$H$37,'S&amp;L Augmentation Details'!$H$11:$H$31,'S&amp;L Augmentation Details'!$D$11:$D$31)-_xlfn.XLOOKUP('S&amp;L Augmentation Details'!$G$37,'S&amp;L Augmentation Details'!$G$11:$G$31,'S&amp;L Augmentation Details'!$D$11:$D$31)</f>
        <v>3</v>
      </c>
      <c r="I56" s="1360"/>
      <c r="J56" s="1360"/>
      <c r="K56" s="1360"/>
      <c r="L56" s="1360"/>
    </row>
    <row r="57" spans="1:18" ht="6" customHeight="1" x14ac:dyDescent="0.35">
      <c r="D57" s="46"/>
      <c r="E57" s="82"/>
      <c r="F57" s="127"/>
      <c r="G57" s="82"/>
      <c r="I57" s="1360"/>
      <c r="J57" s="1360"/>
      <c r="K57" s="1360"/>
      <c r="L57" s="1360"/>
    </row>
    <row r="58" spans="1:18" ht="15" customHeight="1" x14ac:dyDescent="0.35">
      <c r="D58" s="138" t="s">
        <v>19</v>
      </c>
      <c r="G58" s="82"/>
      <c r="I58" s="1360"/>
      <c r="J58" s="1360"/>
      <c r="K58" s="1360"/>
      <c r="L58" s="1360"/>
    </row>
    <row r="59" spans="1:18" ht="15" customHeight="1" x14ac:dyDescent="0.35">
      <c r="A59">
        <f>MAX($A$18:A58)+1</f>
        <v>25</v>
      </c>
      <c r="D59" s="46" t="s">
        <v>11</v>
      </c>
      <c r="E59" t="s">
        <v>10</v>
      </c>
      <c r="F59" s="6" t="str">
        <f>"["&amp;A59&amp;"]"</f>
        <v>[25]</v>
      </c>
      <c r="G59" s="82" t="s">
        <v>39</v>
      </c>
      <c r="H59" s="97">
        <f>$H$48+((1-$H$48)*$H$49)</f>
        <v>0.273121</v>
      </c>
      <c r="I59" s="1360"/>
      <c r="J59" s="1360"/>
      <c r="K59" s="1360"/>
      <c r="L59" s="1360"/>
    </row>
    <row r="60" spans="1:18" ht="15" customHeight="1" x14ac:dyDescent="0.35">
      <c r="A60">
        <f>MAX($A$18:A59)+1</f>
        <v>26</v>
      </c>
      <c r="D60" s="46" t="s">
        <v>18</v>
      </c>
      <c r="E60" t="s">
        <v>10</v>
      </c>
      <c r="F60" s="6" t="str">
        <f>"["&amp;A60&amp;"]"</f>
        <v>[26]</v>
      </c>
      <c r="G60" s="82" t="s">
        <v>39</v>
      </c>
      <c r="H60" s="97">
        <f>($H$24*(1-$H$22))+($H$23*$H$22*(1-$H$59))+$H$21</f>
        <v>9.5187440099999993E-2</v>
      </c>
      <c r="I60" s="2099"/>
      <c r="J60" s="2099"/>
      <c r="K60" s="1360"/>
      <c r="L60" s="1360"/>
    </row>
    <row r="61" spans="1:18" ht="15" customHeight="1" x14ac:dyDescent="0.35">
      <c r="A61">
        <f>MAX($A$18:A60)+1</f>
        <v>27</v>
      </c>
      <c r="D61" s="46" t="s">
        <v>20</v>
      </c>
      <c r="E61" t="s">
        <v>10</v>
      </c>
      <c r="F61" s="6" t="str">
        <f>"["&amp;A61&amp;"]"</f>
        <v>[27]</v>
      </c>
      <c r="G61" s="82" t="str">
        <f>$F$23</f>
        <v>[5]</v>
      </c>
      <c r="H61" s="97">
        <f>$H$23</f>
        <v>5.8000000000000003E-2</v>
      </c>
      <c r="I61" s="1360"/>
      <c r="J61" s="1360"/>
      <c r="K61" s="1360"/>
      <c r="L61" s="1360"/>
    </row>
    <row r="62" spans="1:18" ht="15" customHeight="1" x14ac:dyDescent="0.35">
      <c r="A62">
        <f>MAX($A$18:A61)+1</f>
        <v>28</v>
      </c>
      <c r="D62" s="46" t="s">
        <v>21</v>
      </c>
      <c r="E62" t="s">
        <v>10</v>
      </c>
      <c r="F62" s="6" t="str">
        <f>"["&amp;A62&amp;"]"</f>
        <v>[28]</v>
      </c>
      <c r="G62" s="82" t="str">
        <f>$F$22</f>
        <v>[4]</v>
      </c>
      <c r="H62" s="97">
        <f>$H$22</f>
        <v>0.55000000000000004</v>
      </c>
      <c r="I62" s="1360"/>
      <c r="J62" s="1360"/>
      <c r="K62" s="1360"/>
      <c r="L62" s="1360"/>
    </row>
    <row r="63" spans="1:18" s="1" customFormat="1" ht="6" customHeight="1" x14ac:dyDescent="0.35">
      <c r="D63" s="139"/>
      <c r="E63" s="4"/>
      <c r="F63" s="4"/>
      <c r="G63" s="254"/>
      <c r="H63" s="102"/>
      <c r="I63" s="2100"/>
      <c r="J63" s="2101"/>
      <c r="K63" s="2102"/>
      <c r="L63" s="2102"/>
      <c r="O63" s="141"/>
      <c r="P63" s="47"/>
      <c r="Q63" s="2017"/>
      <c r="R63" s="47"/>
    </row>
    <row r="64" spans="1:18" s="1" customFormat="1" ht="6" customHeight="1" x14ac:dyDescent="0.35">
      <c r="D64" s="87"/>
      <c r="G64" s="87"/>
      <c r="H64" s="100"/>
      <c r="I64" s="1356"/>
      <c r="J64" s="1356"/>
      <c r="K64" s="1356"/>
      <c r="L64" s="1356"/>
      <c r="O64" s="141"/>
      <c r="P64" s="47"/>
      <c r="Q64" s="2017"/>
      <c r="R64" s="47"/>
    </row>
    <row r="65" spans="1:18" ht="15" customHeight="1" x14ac:dyDescent="0.35">
      <c r="D65" s="1615" t="s">
        <v>247</v>
      </c>
      <c r="E65" s="1616"/>
      <c r="F65" s="1617"/>
      <c r="G65" s="1617"/>
      <c r="H65" s="1618"/>
      <c r="I65" s="1360"/>
      <c r="J65" s="1360"/>
      <c r="K65" s="1360"/>
      <c r="L65" s="1360"/>
    </row>
    <row r="66" spans="1:18" ht="6" customHeight="1" x14ac:dyDescent="0.35">
      <c r="D66" s="1619"/>
      <c r="E66" s="1620"/>
      <c r="F66" s="1621"/>
      <c r="G66" s="1620"/>
      <c r="H66" s="1622"/>
      <c r="I66" s="1360"/>
      <c r="J66" s="1360"/>
      <c r="K66" s="1360"/>
      <c r="L66" s="1360"/>
    </row>
    <row r="67" spans="1:18" ht="15" customHeight="1" x14ac:dyDescent="0.35">
      <c r="A67">
        <f>MAX($A$18:A65)+1</f>
        <v>29</v>
      </c>
      <c r="D67" s="207" t="str">
        <f>O67</f>
        <v>Overnight Cost</v>
      </c>
      <c r="E67" s="79" t="str">
        <f>YEAR($H$19)&amp;"$"</f>
        <v>2028$</v>
      </c>
      <c r="F67" s="78" t="str">
        <f>"["&amp;A67&amp;"]"</f>
        <v>[29]</v>
      </c>
      <c r="G67" s="144" t="str">
        <f>'Cash Flows'!$D$3</f>
        <v>Table A1</v>
      </c>
      <c r="H67" s="208">
        <f>INDEX('Cash Flows'!$I$8:$I$86, MATCH(Control!$O67, 'Cash Flows'!$D$8:$D$86, 0))</f>
        <v>1811348085.1208441</v>
      </c>
      <c r="I67" s="1360"/>
      <c r="J67" s="1360"/>
      <c r="K67" s="1360"/>
      <c r="L67" s="1360"/>
      <c r="O67" s="129" t="str">
        <f>'Cash Flows'!$D$16</f>
        <v>Overnight Cost</v>
      </c>
    </row>
    <row r="68" spans="1:18" ht="15" customHeight="1" x14ac:dyDescent="0.35">
      <c r="A68">
        <f>MAX($A$18:A67)+1</f>
        <v>30</v>
      </c>
      <c r="D68" s="207" t="str">
        <f>O68</f>
        <v>Depreciable Cost</v>
      </c>
      <c r="E68" s="79" t="str">
        <f>YEAR($H$19)&amp;"$"</f>
        <v>2028$</v>
      </c>
      <c r="F68" s="78" t="str">
        <f t="shared" ref="F68:F75" si="3">"["&amp;A68&amp;"]"</f>
        <v>[30]</v>
      </c>
      <c r="G68" s="144" t="str">
        <f>'Cash Flows'!$D$3</f>
        <v>Table A1</v>
      </c>
      <c r="H68" s="208">
        <f>INDEX('Cash Flows'!$I$8:$I$86, MATCH(Control!$O68, 'Cash Flows'!$D$8:$D$86, 0))</f>
        <v>1961371349.6694851</v>
      </c>
      <c r="I68" s="1360"/>
      <c r="J68" s="1360"/>
      <c r="K68" s="1360"/>
      <c r="L68" s="1360"/>
      <c r="O68" s="129" t="str">
        <f>'Cash Flows'!$D$18</f>
        <v>Depreciable Cost</v>
      </c>
    </row>
    <row r="69" spans="1:18" ht="15" customHeight="1" x14ac:dyDescent="0.35">
      <c r="A69">
        <f>MAX($A$18:A68)+1</f>
        <v>31</v>
      </c>
      <c r="D69" s="207" t="str">
        <f>O69</f>
        <v>Installed Cost</v>
      </c>
      <c r="E69" s="79" t="str">
        <f>YEAR($H$19)&amp;"$"</f>
        <v>2028$</v>
      </c>
      <c r="F69" s="78" t="str">
        <f>"["&amp;A69&amp;"]"</f>
        <v>[31]</v>
      </c>
      <c r="G69" s="144" t="str">
        <f>'Cash Flows'!$D$3</f>
        <v>Table A1</v>
      </c>
      <c r="H69" s="208">
        <f>INDEX('Cash Flows'!$I$8:$I$86, MATCH(Control!$O69, 'Cash Flows'!$D$8:$D$86, 0))</f>
        <v>2304255091.2588</v>
      </c>
      <c r="I69" s="2103"/>
      <c r="J69" s="1360"/>
      <c r="K69" s="1360"/>
      <c r="L69" s="1360"/>
      <c r="O69" s="129" t="str">
        <f>'Cash Flows'!$D$17</f>
        <v>Installed Cost</v>
      </c>
    </row>
    <row r="70" spans="1:18" ht="6" customHeight="1" x14ac:dyDescent="0.35">
      <c r="D70" s="207"/>
      <c r="E70" s="79"/>
      <c r="F70" s="78"/>
      <c r="G70" s="144"/>
      <c r="H70" s="208"/>
      <c r="I70" s="1360"/>
      <c r="J70" s="1360"/>
      <c r="K70" s="1360"/>
      <c r="L70" s="1360"/>
    </row>
    <row r="71" spans="1:18" ht="15" customHeight="1" x14ac:dyDescent="0.35">
      <c r="A71">
        <f>MAX($A$18:A69)+1</f>
        <v>32</v>
      </c>
      <c r="D71" s="207" t="str">
        <f>O71</f>
        <v>Unit Overnight Cost</v>
      </c>
      <c r="E71" s="79" t="str">
        <f>YEAR($H$19)&amp;"$/kW"</f>
        <v>2028$/kW</v>
      </c>
      <c r="F71" s="78" t="str">
        <f t="shared" si="3"/>
        <v>[32]</v>
      </c>
      <c r="G71" s="144" t="str">
        <f>'Cash Flows'!$D$3</f>
        <v>Table A1</v>
      </c>
      <c r="H71" s="209">
        <f>INDEX('Cash Flows'!$I$8:$I$86, MATCH(Control!$O71, 'Cash Flows'!$D$8:$D$86, 0))</f>
        <v>1419.3916087219343</v>
      </c>
      <c r="I71" s="2104"/>
      <c r="J71" s="2104"/>
      <c r="K71" s="1360"/>
      <c r="L71" s="1360"/>
      <c r="O71" s="129" t="str">
        <f>'Cash Flows'!$D$20</f>
        <v>Unit Overnight Cost</v>
      </c>
    </row>
    <row r="72" spans="1:18" ht="15" customHeight="1" x14ac:dyDescent="0.35">
      <c r="A72">
        <f>MAX($A$18:A71)+1</f>
        <v>33</v>
      </c>
      <c r="D72" s="207" t="str">
        <f>O72</f>
        <v xml:space="preserve">Unit Depreciable Cost </v>
      </c>
      <c r="E72" s="79" t="str">
        <f>YEAR($H$19)&amp;"$/kW"</f>
        <v>2028$/kW</v>
      </c>
      <c r="F72" s="78" t="str">
        <f t="shared" si="3"/>
        <v>[33]</v>
      </c>
      <c r="G72" s="144" t="str">
        <f>'Cash Flows'!$D$3</f>
        <v>Table A1</v>
      </c>
      <c r="H72" s="209">
        <f>INDEX('Cash Flows'!$I$8:$I$86, MATCH(Control!$O72, 'Cash Flows'!$D$8:$D$86, 0))</f>
        <v>1536.9514331215639</v>
      </c>
      <c r="I72" s="1360"/>
      <c r="J72" s="1360"/>
      <c r="K72" s="1360"/>
      <c r="L72" s="1360"/>
      <c r="O72" s="129" t="str">
        <f>'Cash Flows'!$D$22</f>
        <v xml:space="preserve">Unit Depreciable Cost </v>
      </c>
    </row>
    <row r="73" spans="1:18" ht="15" customHeight="1" x14ac:dyDescent="0.35">
      <c r="A73">
        <f>MAX($A$18:A72)+1</f>
        <v>34</v>
      </c>
      <c r="D73" s="207" t="str">
        <f>O73</f>
        <v>Unit Installed Cost</v>
      </c>
      <c r="E73" s="79" t="str">
        <f>YEAR($H$19)&amp;"$/kW"</f>
        <v>2028$/kW</v>
      </c>
      <c r="F73" s="78" t="str">
        <f>"["&amp;A73&amp;"]"</f>
        <v>[34]</v>
      </c>
      <c r="G73" s="144" t="str">
        <f>'Cash Flows'!$D$3</f>
        <v>Table A1</v>
      </c>
      <c r="H73" s="209">
        <f>INDEX('Cash Flows'!$I$8:$I$86, MATCH(Control!$O73, 'Cash Flows'!$D$8:$D$86, 0))</f>
        <v>1805.6387768612319</v>
      </c>
      <c r="I73" s="1360"/>
      <c r="J73" s="1360"/>
      <c r="K73" s="1360"/>
      <c r="L73" s="1360"/>
      <c r="O73" s="129" t="str">
        <f>'Cash Flows'!$D$21</f>
        <v>Unit Installed Cost</v>
      </c>
    </row>
    <row r="74" spans="1:18" ht="6" customHeight="1" x14ac:dyDescent="0.35">
      <c r="D74" s="207"/>
      <c r="E74" s="79"/>
      <c r="F74" s="78"/>
      <c r="G74" s="144"/>
      <c r="H74" s="209"/>
      <c r="I74" s="1360"/>
      <c r="J74" s="1360"/>
      <c r="K74" s="1360"/>
      <c r="L74" s="1360"/>
    </row>
    <row r="75" spans="1:18" ht="15" customHeight="1" x14ac:dyDescent="0.35">
      <c r="A75">
        <f>MAX($A$18:A73)+1</f>
        <v>35</v>
      </c>
      <c r="D75" s="210" t="s">
        <v>195</v>
      </c>
      <c r="E75" s="211" t="str">
        <f>YEAR($H$19)&amp;"$/kW-yr"</f>
        <v>2028$/kW-yr</v>
      </c>
      <c r="F75" s="80" t="str">
        <f t="shared" si="3"/>
        <v>[35]</v>
      </c>
      <c r="G75" s="2131" t="str">
        <f>'Cash Flows'!$D$3</f>
        <v>Table A1</v>
      </c>
      <c r="H75" s="212">
        <f ca="1">INDEX('Cash Flows'!$G$55:$G$60, MATCH(Control!$O75, 'Cash Flows'!$D$55:$D$60, 0))</f>
        <v>296.89079696030188</v>
      </c>
      <c r="I75" s="1838"/>
      <c r="J75" s="1838"/>
      <c r="K75" s="1838"/>
      <c r="L75" s="1838"/>
      <c r="M75" s="1838"/>
      <c r="O75" s="129" t="str">
        <f>'Cash Flows'!$D$60</f>
        <v>Total</v>
      </c>
    </row>
    <row r="76" spans="1:18" ht="15" customHeight="1" x14ac:dyDescent="0.35">
      <c r="A76">
        <f>MAX($A$18:A75)+1</f>
        <v>36</v>
      </c>
      <c r="D76" s="210" t="s">
        <v>195</v>
      </c>
      <c r="E76" s="211" t="str">
        <f>YEAR($H$19)&amp;"$/MW-day"</f>
        <v>2028$/MW-day</v>
      </c>
      <c r="F76" s="80" t="str">
        <f>"["&amp;A76&amp;"]"</f>
        <v>[36]</v>
      </c>
      <c r="G76" s="2131" t="str">
        <f>'Cash Flows'!$D$3</f>
        <v>Table A1</v>
      </c>
      <c r="H76" s="212">
        <f ca="1">'Cash Flows'!$H$60</f>
        <v>813.39944372685443</v>
      </c>
      <c r="I76" s="212"/>
      <c r="J76" s="208"/>
      <c r="K76" s="1839"/>
      <c r="L76" s="1840"/>
      <c r="M76" s="1342"/>
    </row>
    <row r="77" spans="1:18" s="1" customFormat="1" ht="6" customHeight="1" outlineLevel="1" x14ac:dyDescent="0.35">
      <c r="D77" s="139"/>
      <c r="E77" s="4"/>
      <c r="F77" s="4"/>
      <c r="G77" s="254"/>
      <c r="H77" s="102"/>
      <c r="I77" s="405"/>
      <c r="J77" s="406"/>
      <c r="K77" s="407"/>
      <c r="L77" s="407"/>
      <c r="M77" s="4"/>
      <c r="O77" s="141"/>
      <c r="P77" s="47"/>
      <c r="Q77" s="2017"/>
      <c r="R77" s="47"/>
    </row>
    <row r="78" spans="1:18" s="1" customFormat="1" ht="6" customHeight="1" outlineLevel="1" x14ac:dyDescent="0.35">
      <c r="D78" s="176"/>
      <c r="E78" s="177"/>
      <c r="F78" s="177"/>
      <c r="G78" s="2132"/>
      <c r="H78" s="178"/>
      <c r="I78" s="408"/>
      <c r="J78" s="409"/>
      <c r="K78" s="410"/>
      <c r="L78" s="410"/>
      <c r="M78" s="177"/>
      <c r="O78" s="141"/>
      <c r="P78" s="47"/>
      <c r="Q78" s="2017"/>
      <c r="R78" s="47"/>
    </row>
    <row r="79" spans="1:18" s="1623" customFormat="1" ht="21" customHeight="1" outlineLevel="1" x14ac:dyDescent="0.35">
      <c r="D79" s="1624" t="s">
        <v>304</v>
      </c>
      <c r="E79" s="1625"/>
      <c r="F79" s="1625"/>
      <c r="G79" s="2133"/>
      <c r="H79" s="1919"/>
      <c r="I79" s="1924" t="s">
        <v>288</v>
      </c>
      <c r="J79" s="1924" t="s">
        <v>289</v>
      </c>
      <c r="K79" s="1924" t="s">
        <v>290</v>
      </c>
      <c r="L79" s="1924" t="s">
        <v>291</v>
      </c>
      <c r="M79" s="1925" t="s">
        <v>299</v>
      </c>
      <c r="N79" s="1841"/>
      <c r="O79" s="1626"/>
      <c r="P79" s="1627"/>
      <c r="Q79" s="1626"/>
      <c r="R79" s="2019"/>
    </row>
    <row r="80" spans="1:18" s="1623" customFormat="1" ht="15" customHeight="1" outlineLevel="1" x14ac:dyDescent="0.35">
      <c r="A80">
        <f>MAX($A$18:A79)+1</f>
        <v>37</v>
      </c>
      <c r="D80" s="1926" t="s">
        <v>195</v>
      </c>
      <c r="E80" s="1927" t="str">
        <f>YEAR($H$19)&amp;"$/kW-yr"</f>
        <v>2028$/kW-yr</v>
      </c>
      <c r="F80" s="78" t="str">
        <f t="shared" ref="F80" si="4">"["&amp;A80&amp;"]"</f>
        <v>[37]</v>
      </c>
      <c r="G80" s="2134" t="str">
        <f>F75</f>
        <v>[35]</v>
      </c>
      <c r="H80" s="1928">
        <f ca="1">$H75</f>
        <v>296.89079696030188</v>
      </c>
      <c r="I80" s="1929">
        <f t="dataTable" ref="I80:M89" dt2D="0" dtr="1" r1="H11" ca="1"/>
        <v>297.97152272082417</v>
      </c>
      <c r="J80" s="1929">
        <v>298.94008010288042</v>
      </c>
      <c r="K80" s="1929">
        <v>296.89079696030188</v>
      </c>
      <c r="L80" s="1929">
        <v>297.01254505615867</v>
      </c>
      <c r="M80" s="1930">
        <v>348.01349471986532</v>
      </c>
      <c r="N80" s="1841"/>
      <c r="O80" s="1626"/>
      <c r="P80" s="1627"/>
      <c r="Q80" s="1626"/>
      <c r="R80" s="2019"/>
    </row>
    <row r="81" spans="1:18" s="1623" customFormat="1" ht="15" customHeight="1" outlineLevel="1" x14ac:dyDescent="0.35">
      <c r="A81">
        <f>MAX($A$18:A80)+1</f>
        <v>38</v>
      </c>
      <c r="D81" s="1926" t="s">
        <v>195</v>
      </c>
      <c r="E81" s="1927" t="str">
        <f>YEAR($H$19)&amp;"$/MW-day"</f>
        <v>2028$/MW-day</v>
      </c>
      <c r="F81" s="78" t="str">
        <f>"["&amp;A81&amp;"]"</f>
        <v>[38]</v>
      </c>
      <c r="G81" s="2134" t="str">
        <f>F76</f>
        <v>[36]</v>
      </c>
      <c r="H81" s="1928">
        <f ca="1">$H76</f>
        <v>813.39944372685443</v>
      </c>
      <c r="I81" s="1931">
        <v>816.360336221436</v>
      </c>
      <c r="J81" s="1931">
        <v>819.01391809008328</v>
      </c>
      <c r="K81" s="1931">
        <v>813.39944372685443</v>
      </c>
      <c r="L81" s="1931">
        <v>813.73300015385928</v>
      </c>
      <c r="M81" s="1932">
        <v>953.46162936949395</v>
      </c>
      <c r="N81" s="1841"/>
      <c r="O81" s="1626"/>
      <c r="P81" s="1627"/>
      <c r="Q81" s="1626"/>
      <c r="R81" s="2019"/>
    </row>
    <row r="82" spans="1:18" s="1628" customFormat="1" outlineLevel="1" x14ac:dyDescent="0.35">
      <c r="A82">
        <f>MAX($A$18:A81)+1</f>
        <v>39</v>
      </c>
      <c r="D82" s="1629" t="s">
        <v>501</v>
      </c>
      <c r="E82" s="1628" t="s">
        <v>10</v>
      </c>
      <c r="F82" s="1630" t="str">
        <f>"["&amp;A82&amp;"]"</f>
        <v>[39]</v>
      </c>
      <c r="G82" s="2135" t="str">
        <f>$F$60</f>
        <v>[26]</v>
      </c>
      <c r="H82" s="1631">
        <f>$H$60</f>
        <v>9.5187440099999993E-2</v>
      </c>
      <c r="I82" s="1920">
        <v>9.4932909999999995E-2</v>
      </c>
      <c r="J82" s="1920">
        <v>9.51219175E-2</v>
      </c>
      <c r="K82" s="1920">
        <v>9.5187440099999993E-2</v>
      </c>
      <c r="L82" s="1920">
        <v>9.5187440099999993E-2</v>
      </c>
      <c r="M82" s="1920">
        <v>9.4806904999999997E-2</v>
      </c>
      <c r="O82" s="1632"/>
      <c r="P82" s="1632"/>
      <c r="Q82" s="1632"/>
      <c r="R82" s="2020"/>
    </row>
    <row r="83" spans="1:18" s="5" customFormat="1" ht="15" customHeight="1" outlineLevel="1" x14ac:dyDescent="0.35">
      <c r="A83">
        <f>MAX($A$18:A82)+1</f>
        <v>40</v>
      </c>
      <c r="D83" s="23" t="s">
        <v>229</v>
      </c>
      <c r="E83" s="5" t="s">
        <v>10</v>
      </c>
      <c r="F83" s="17" t="str">
        <f t="shared" ref="F83:F93" si="5">"["&amp;A83&amp;"]"</f>
        <v>[40]</v>
      </c>
      <c r="G83" s="26" t="s">
        <v>39</v>
      </c>
      <c r="H83" s="1847">
        <f ca="1">'Cash Flows'!$I$55</f>
        <v>0.16867594984333079</v>
      </c>
      <c r="I83" s="1921">
        <v>0.16952316351806235</v>
      </c>
      <c r="J83" s="1921">
        <v>0.16892274077349831</v>
      </c>
      <c r="K83" s="1921">
        <v>0.16867594984333079</v>
      </c>
      <c r="L83" s="1921">
        <v>0.16870911311735565</v>
      </c>
      <c r="M83" s="1921">
        <v>0.18790154206710236</v>
      </c>
      <c r="O83" s="285"/>
      <c r="P83" s="285"/>
      <c r="Q83" s="285"/>
      <c r="R83" s="36"/>
    </row>
    <row r="84" spans="1:18" s="5" customFormat="1" ht="15" customHeight="1" outlineLevel="1" x14ac:dyDescent="0.35">
      <c r="A84">
        <f>MAX($A$18:A83)+1</f>
        <v>41</v>
      </c>
      <c r="D84" s="98" t="s">
        <v>481</v>
      </c>
      <c r="E84" s="5" t="s">
        <v>302</v>
      </c>
      <c r="F84" s="17" t="str">
        <f t="shared" si="5"/>
        <v>[41]</v>
      </c>
      <c r="G84" s="26" t="str">
        <f>'Construction Costs'!$D$3</f>
        <v>Table A2</v>
      </c>
      <c r="H84" s="411">
        <f>'Cash Flows'!$I$16/10^6</f>
        <v>1811.3480851208442</v>
      </c>
      <c r="I84" s="1922">
        <v>1956.1033475085208</v>
      </c>
      <c r="J84" s="1922">
        <v>1819.6704258049774</v>
      </c>
      <c r="K84" s="1922">
        <v>1811.3480851208442</v>
      </c>
      <c r="L84" s="1922">
        <v>1864.494345084297</v>
      </c>
      <c r="M84" s="1922">
        <v>2133.3952203190456</v>
      </c>
      <c r="O84" s="285"/>
      <c r="P84" s="285"/>
      <c r="Q84" s="285"/>
      <c r="R84" s="36"/>
    </row>
    <row r="85" spans="1:18" s="5" customFormat="1" ht="15" customHeight="1" outlineLevel="1" x14ac:dyDescent="0.35">
      <c r="A85">
        <f>MAX($A$18:A84)+1</f>
        <v>42</v>
      </c>
      <c r="D85" s="98" t="s">
        <v>502</v>
      </c>
      <c r="E85" s="5" t="s">
        <v>302</v>
      </c>
      <c r="F85" s="17" t="str">
        <f t="shared" si="5"/>
        <v>[42]</v>
      </c>
      <c r="G85" s="26" t="str">
        <f>'Construction Costs'!$D$3</f>
        <v>Table A2</v>
      </c>
      <c r="H85" s="411">
        <f>'Cash Flows'!$I$17/10^6</f>
        <v>2304.2550912587999</v>
      </c>
      <c r="I85" s="1922">
        <v>2486.8390745178044</v>
      </c>
      <c r="J85" s="1922">
        <v>2314.4679220238454</v>
      </c>
      <c r="K85" s="1922">
        <v>2304.2550912587999</v>
      </c>
      <c r="L85" s="1922">
        <v>2371.8635984850534</v>
      </c>
      <c r="M85" s="1922">
        <v>2711.3910898783001</v>
      </c>
      <c r="O85" s="285"/>
      <c r="P85" s="285"/>
      <c r="Q85" s="285"/>
      <c r="R85" s="36"/>
    </row>
    <row r="86" spans="1:18" s="5" customFormat="1" ht="15" customHeight="1" outlineLevel="1" x14ac:dyDescent="0.35">
      <c r="A86">
        <f>MAX($A$18:A85)+1</f>
        <v>43</v>
      </c>
      <c r="D86" s="23" t="s">
        <v>200</v>
      </c>
      <c r="E86" s="5" t="s">
        <v>302</v>
      </c>
      <c r="F86" s="17" t="str">
        <f t="shared" si="5"/>
        <v>[43]</v>
      </c>
      <c r="G86" s="26" t="str">
        <f>'Cash Flows'!$D$3</f>
        <v>Table A1</v>
      </c>
      <c r="H86" s="411">
        <f ca="1">INDEX('Cash Flows'!$I$8:$I$86, MATCH(O86, 'Cash Flows'!$D$8:$D$86, 0))/1000000</f>
        <v>65.380643227225207</v>
      </c>
      <c r="I86" s="1922">
        <v>44.300417993349484</v>
      </c>
      <c r="J86" s="1922">
        <v>73.342021721049449</v>
      </c>
      <c r="K86" s="1922">
        <v>65.380643227225207</v>
      </c>
      <c r="L86" s="1922">
        <v>51.242378484008995</v>
      </c>
      <c r="M86" s="1922">
        <v>42.694916725961797</v>
      </c>
      <c r="O86" s="285" t="str">
        <f>'Cash Flows'!$D$42</f>
        <v>Total FOM Cost</v>
      </c>
      <c r="P86" s="285"/>
      <c r="Q86" s="285"/>
      <c r="R86" s="36"/>
    </row>
    <row r="87" spans="1:18" s="5" customFormat="1" ht="15" customHeight="1" outlineLevel="1" x14ac:dyDescent="0.35">
      <c r="A87">
        <f>MAX($A$18:A86)+1</f>
        <v>44</v>
      </c>
      <c r="D87" s="23" t="s">
        <v>481</v>
      </c>
      <c r="E87" s="5" t="s">
        <v>488</v>
      </c>
      <c r="F87" s="17" t="str">
        <f t="shared" si="5"/>
        <v>[44]</v>
      </c>
      <c r="G87" s="26" t="str">
        <f>$F$71</f>
        <v>[32]</v>
      </c>
      <c r="H87" s="411">
        <f>$H$71</f>
        <v>1419.3916087219343</v>
      </c>
      <c r="I87" s="1922">
        <v>1517.3931287354103</v>
      </c>
      <c r="J87" s="1922">
        <v>1411.3674639531787</v>
      </c>
      <c r="K87" s="1922">
        <v>1419.3916087219343</v>
      </c>
      <c r="L87" s="1922">
        <v>1475.5894620546385</v>
      </c>
      <c r="M87" s="1922">
        <v>1648.9374094288496</v>
      </c>
      <c r="O87" s="285"/>
      <c r="P87" s="285"/>
      <c r="Q87" s="285"/>
      <c r="R87" s="36"/>
    </row>
    <row r="88" spans="1:18" s="5" customFormat="1" ht="15" customHeight="1" outlineLevel="1" x14ac:dyDescent="0.35">
      <c r="A88">
        <f>MAX($A$18:A87)+1</f>
        <v>45</v>
      </c>
      <c r="D88" s="23" t="s">
        <v>502</v>
      </c>
      <c r="E88" s="5" t="s">
        <v>488</v>
      </c>
      <c r="F88" s="17" t="str">
        <f t="shared" si="5"/>
        <v>[45]</v>
      </c>
      <c r="G88" s="26" t="str">
        <f>$F$73</f>
        <v>[34]</v>
      </c>
      <c r="H88" s="411">
        <f>$H$73</f>
        <v>1805.6387768612319</v>
      </c>
      <c r="I88" s="1922">
        <v>1929.0967058311862</v>
      </c>
      <c r="J88" s="1922">
        <v>1795.1408536316294</v>
      </c>
      <c r="K88" s="1922">
        <v>1805.6387768612319</v>
      </c>
      <c r="L88" s="1922">
        <v>1877.1292820398996</v>
      </c>
      <c r="M88" s="1922">
        <v>2095.6802364185346</v>
      </c>
      <c r="O88" s="285"/>
      <c r="P88" s="285"/>
      <c r="Q88" s="285"/>
      <c r="R88" s="36"/>
    </row>
    <row r="89" spans="1:18" s="5" customFormat="1" ht="15" customHeight="1" outlineLevel="1" x14ac:dyDescent="0.35">
      <c r="A89">
        <f>MAX($A$18:A88)+1</f>
        <v>46</v>
      </c>
      <c r="D89" s="307" t="s">
        <v>205</v>
      </c>
      <c r="E89" s="5" t="s">
        <v>488</v>
      </c>
      <c r="F89" s="17" t="str">
        <f t="shared" si="5"/>
        <v>[46]</v>
      </c>
      <c r="G89" s="26" t="str">
        <f>'Cash Flows'!$D$3</f>
        <v>Table A1</v>
      </c>
      <c r="H89" s="411">
        <f ca="1">INDEX('Cash Flows'!$G$55:$G$58,MATCH(O89,'Cash Flows'!$D$55:$D$58,0))</f>
        <v>57.47356915947632</v>
      </c>
      <c r="I89" s="1922">
        <v>40.738239237026939</v>
      </c>
      <c r="J89" s="1922">
        <v>60.528019853367887</v>
      </c>
      <c r="K89" s="1922">
        <v>57.47356915947632</v>
      </c>
      <c r="L89" s="1922">
        <v>48.067155587604688</v>
      </c>
      <c r="M89" s="1922">
        <v>38.175612716051518</v>
      </c>
      <c r="O89" s="285" t="s">
        <v>303</v>
      </c>
      <c r="P89" s="285"/>
      <c r="Q89" s="285"/>
      <c r="R89" s="36"/>
    </row>
    <row r="90" spans="1:18" s="5" customFormat="1" ht="15" hidden="1" customHeight="1" outlineLevel="2" x14ac:dyDescent="0.35">
      <c r="A90">
        <f>MAX($A$18:A89)+1</f>
        <v>47</v>
      </c>
      <c r="B90" s="26"/>
      <c r="C90" s="26"/>
      <c r="D90" s="1339"/>
      <c r="E90" s="26"/>
      <c r="F90" s="92"/>
      <c r="G90" s="26"/>
      <c r="H90" s="411">
        <f ca="1">$H$75</f>
        <v>296.89079696030188</v>
      </c>
      <c r="I90" s="1923" t="str">
        <f>I79</f>
        <v>EMAAC</v>
      </c>
      <c r="J90" s="1923" t="str">
        <f>J79</f>
        <v>SWMAAC</v>
      </c>
      <c r="K90" s="1923" t="str">
        <f>K79</f>
        <v>Rest of RTO</v>
      </c>
      <c r="L90" s="1923" t="str">
        <f>L79</f>
        <v>WMAAC</v>
      </c>
      <c r="M90" s="1923" t="str">
        <f>M79</f>
        <v>COMED</v>
      </c>
      <c r="O90" s="285"/>
      <c r="P90" s="285"/>
      <c r="Q90" s="285"/>
      <c r="R90" s="36"/>
    </row>
    <row r="91" spans="1:18" s="5" customFormat="1" ht="15" customHeight="1" outlineLevel="1" collapsed="1" x14ac:dyDescent="0.35">
      <c r="A91">
        <f>MAX($A$18:A90)+1</f>
        <v>48</v>
      </c>
      <c r="D91" s="307" t="s">
        <v>533</v>
      </c>
      <c r="E91" s="5" t="s">
        <v>488</v>
      </c>
      <c r="F91" s="17" t="str">
        <f t="shared" si="5"/>
        <v>[48]</v>
      </c>
      <c r="G91" s="26" t="s">
        <v>39</v>
      </c>
      <c r="H91" s="1072">
        <v>1</v>
      </c>
      <c r="I91" s="1922">
        <f t="dataTable" ref="I91:M92" dt2D="1" dtr="1" r1="H11" r2="P91" ca="1"/>
        <v>297.97152272082417</v>
      </c>
      <c r="J91" s="1922">
        <v>298.94008010288042</v>
      </c>
      <c r="K91" s="1922">
        <v>296.89079696030188</v>
      </c>
      <c r="L91" s="1922">
        <v>297.01254505615867</v>
      </c>
      <c r="M91" s="1922">
        <v>348.01349471986532</v>
      </c>
      <c r="O91" s="1773" t="s">
        <v>503</v>
      </c>
      <c r="P91" s="2163">
        <v>1</v>
      </c>
      <c r="Q91" s="285"/>
      <c r="R91" s="36"/>
    </row>
    <row r="92" spans="1:18" s="5" customFormat="1" ht="15" customHeight="1" outlineLevel="1" x14ac:dyDescent="0.35">
      <c r="A92">
        <f>MAX($A$18:A91)+1</f>
        <v>49</v>
      </c>
      <c r="D92" s="307" t="s">
        <v>534</v>
      </c>
      <c r="E92" s="5" t="s">
        <v>488</v>
      </c>
      <c r="F92" s="17" t="str">
        <f t="shared" si="5"/>
        <v>[49]</v>
      </c>
      <c r="G92" s="26" t="s">
        <v>39</v>
      </c>
      <c r="H92" s="1072">
        <v>0</v>
      </c>
      <c r="I92" s="1922">
        <v>297.97152272082417</v>
      </c>
      <c r="J92" s="1922">
        <v>298.94008010288042</v>
      </c>
      <c r="K92" s="1922">
        <v>296.89079696030188</v>
      </c>
      <c r="L92" s="1922">
        <v>297.01254505615867</v>
      </c>
      <c r="M92" s="1922">
        <v>348.01349471986532</v>
      </c>
      <c r="O92" s="285"/>
      <c r="P92" s="285"/>
      <c r="Q92" s="285"/>
      <c r="R92" s="36"/>
    </row>
    <row r="93" spans="1:18" s="5" customFormat="1" ht="15" customHeight="1" outlineLevel="1" x14ac:dyDescent="0.35">
      <c r="A93">
        <f>MAX($A$18:A92)+1</f>
        <v>50</v>
      </c>
      <c r="D93" s="307" t="s">
        <v>535</v>
      </c>
      <c r="E93" s="5" t="s">
        <v>488</v>
      </c>
      <c r="F93" s="17" t="str">
        <f t="shared" si="5"/>
        <v>[50]</v>
      </c>
      <c r="G93" s="26" t="str">
        <f>F91&amp;" - "&amp;F92</f>
        <v>[48] - [49]</v>
      </c>
      <c r="H93" s="411"/>
      <c r="I93" s="1922">
        <f>I91-I92</f>
        <v>0</v>
      </c>
      <c r="J93" s="1922">
        <f t="shared" ref="J93:M93" si="6">J91-J92</f>
        <v>0</v>
      </c>
      <c r="K93" s="1922">
        <f t="shared" si="6"/>
        <v>0</v>
      </c>
      <c r="L93" s="1922">
        <f t="shared" si="6"/>
        <v>0</v>
      </c>
      <c r="M93" s="1922">
        <f t="shared" si="6"/>
        <v>0</v>
      </c>
      <c r="O93" s="285"/>
      <c r="P93" s="285"/>
      <c r="Q93" s="285"/>
      <c r="R93" s="36"/>
    </row>
    <row r="94" spans="1:18" ht="6" customHeight="1" thickBot="1" x14ac:dyDescent="0.4">
      <c r="D94" s="1156"/>
      <c r="E94" s="1156"/>
      <c r="F94" s="1156"/>
      <c r="G94" s="1156"/>
      <c r="H94" s="1661"/>
      <c r="I94" s="1156"/>
      <c r="J94" s="1156"/>
      <c r="K94" s="1156"/>
      <c r="L94" s="1156"/>
      <c r="M94" s="1156"/>
      <c r="O94" s="48"/>
    </row>
    <row r="95" spans="1:18" ht="6" customHeight="1" thickTop="1" x14ac:dyDescent="0.35">
      <c r="D95" s="1154"/>
      <c r="E95" s="1154"/>
      <c r="F95" s="1154"/>
      <c r="G95" s="1154"/>
      <c r="H95" s="1660"/>
      <c r="I95" s="1154"/>
      <c r="J95" s="1154"/>
      <c r="K95" s="1154"/>
      <c r="L95" s="1154"/>
      <c r="M95" s="1154"/>
      <c r="O95" s="48"/>
    </row>
    <row r="96" spans="1:18" x14ac:dyDescent="0.35">
      <c r="D96" s="140" t="s">
        <v>26</v>
      </c>
      <c r="E96" s="82"/>
      <c r="F96" s="82"/>
      <c r="G96" s="82"/>
      <c r="I96" s="82"/>
      <c r="J96" s="82"/>
      <c r="K96" s="82"/>
      <c r="L96" s="82"/>
      <c r="M96" s="82"/>
      <c r="O96" s="142" t="s">
        <v>626</v>
      </c>
    </row>
    <row r="97" spans="4:18" ht="15" customHeight="1" x14ac:dyDescent="0.35">
      <c r="D97" s="206" t="str">
        <f>$F18&amp;": Date of cost estimates."</f>
        <v>[1]: Date of cost estimates.</v>
      </c>
      <c r="E97" s="206"/>
      <c r="F97" s="206"/>
      <c r="G97" s="206"/>
      <c r="H97" s="206"/>
      <c r="I97" s="82"/>
      <c r="J97" s="82"/>
      <c r="K97" s="82"/>
      <c r="L97" s="82"/>
      <c r="M97" s="82"/>
      <c r="O97" s="2022">
        <f>$H$71</f>
        <v>1419.3916087219343</v>
      </c>
      <c r="P97" s="2049" t="s">
        <v>281</v>
      </c>
      <c r="Q97" s="2050" t="s">
        <v>283</v>
      </c>
      <c r="R97" s="2049" t="s">
        <v>282</v>
      </c>
    </row>
    <row r="98" spans="4:18" ht="15" customHeight="1" x14ac:dyDescent="0.35">
      <c r="D98" s="206" t="str">
        <f>$F19&amp;": Estimated commercial online date."</f>
        <v>[2]: Estimated commercial online date.</v>
      </c>
      <c r="E98" s="206"/>
      <c r="F98" s="206"/>
      <c r="G98" s="206"/>
      <c r="H98" s="206"/>
      <c r="I98" s="82"/>
      <c r="J98" s="82"/>
      <c r="K98" s="82"/>
      <c r="L98" s="82"/>
      <c r="M98" s="82"/>
      <c r="O98" s="2048" t="s">
        <v>288</v>
      </c>
      <c r="P98" s="2047">
        <f t="dataTable" ref="P98:R102" dt2D="1" dtr="1" r1="H10" r2="H11" ca="1"/>
        <v>1395.0971400840383</v>
      </c>
      <c r="Q98" s="2051">
        <v>1517.3931287354103</v>
      </c>
      <c r="R98" s="2047">
        <v>1832.476280023981</v>
      </c>
    </row>
    <row r="99" spans="4:18" ht="15" customHeight="1" x14ac:dyDescent="0.35">
      <c r="D99" s="206" t="str">
        <f>$F21&amp;": User input for risk premium adder."</f>
        <v>[3]: User input for risk premium adder.</v>
      </c>
      <c r="E99" s="82"/>
      <c r="F99" s="82"/>
      <c r="G99" s="82"/>
      <c r="I99" s="82"/>
      <c r="J99" s="82"/>
      <c r="K99" s="82"/>
      <c r="L99" s="82"/>
      <c r="M99" s="82"/>
      <c r="O99" s="2048" t="s">
        <v>289</v>
      </c>
      <c r="P99" s="2047">
        <v>1339.4778320065438</v>
      </c>
      <c r="Q99" s="2051">
        <v>1411.3674639531787</v>
      </c>
      <c r="R99" s="2047">
        <v>1753.4581944324673</v>
      </c>
    </row>
    <row r="100" spans="4:18" ht="15" customHeight="1" x14ac:dyDescent="0.35">
      <c r="D100" s="206" t="str">
        <f>$F22&amp;" to "&amp;F24&amp;": User input. Default based on Brattle analysis, see 'Brattle 2025 CONE Report for PJM,' Section III.C."</f>
        <v>[4] to [6]: User input. Default based on Brattle analysis, see 'Brattle 2025 CONE Report for PJM,' Section III.C.</v>
      </c>
      <c r="E100" s="82"/>
      <c r="F100" s="82"/>
      <c r="G100" s="82"/>
      <c r="I100" s="82"/>
      <c r="J100" s="82"/>
      <c r="K100" s="82"/>
      <c r="L100" s="82"/>
      <c r="M100" s="82"/>
      <c r="O100" s="2048" t="s">
        <v>290</v>
      </c>
      <c r="P100" s="2047">
        <v>1361.1032859368347</v>
      </c>
      <c r="Q100" s="2051">
        <v>1419.3916087219343</v>
      </c>
      <c r="R100" s="2047">
        <v>1750.4862614676529</v>
      </c>
    </row>
    <row r="101" spans="4:18" ht="15" customHeight="1" x14ac:dyDescent="0.35">
      <c r="D101" s="206" t="str">
        <f>$F25&amp;": No bonus depreciation is assumed by default as the project begins operation in 2028. See Thompson Reuters, 'Tax and Accounting Glossary', 'Bonus Depreciation', updated 01/23/2023."</f>
        <v>[7]: No bonus depreciation is assumed by default as the project begins operation in 2028. See Thompson Reuters, 'Tax and Accounting Glossary', 'Bonus Depreciation', updated 01/23/2023.</v>
      </c>
      <c r="E101" s="82"/>
      <c r="F101" s="82"/>
      <c r="G101" s="82"/>
      <c r="H101" s="82"/>
      <c r="I101" s="82"/>
      <c r="J101" s="82"/>
      <c r="K101" s="82"/>
      <c r="L101" s="82"/>
      <c r="M101" s="82"/>
      <c r="O101" s="2048" t="s">
        <v>291</v>
      </c>
      <c r="P101" s="2047">
        <v>1390.1889243407893</v>
      </c>
      <c r="Q101" s="2051">
        <v>1475.5894620546385</v>
      </c>
      <c r="R101" s="2047">
        <v>1784.3811892634747</v>
      </c>
    </row>
    <row r="102" spans="4:18" ht="15" customHeight="1" x14ac:dyDescent="0.35">
      <c r="D102" s="2187" t="str">
        <f>$F27&amp;": User input. Per the Inflation Reduction Act of 2022, the base credit amount for the ITC is 6% of qualified project costs, which increases to 30% if prevailing wage and apprenticeship requirements are satisfied or deemed satisfied,"&amp;" assumed to be 30% for the "&amp;$K$10&amp;" resource for BESS EPC costs only."</f>
        <v>[8]: User input. Per the Inflation Reduction Act of 2022, the base credit amount for the ITC is 6% of qualified project costs, which increases to 30% if prevailing wage and apprenticeship requirements are satisfied or deemed satisfied, assumed to be 30% for the BESS resource for BESS EPC costs only.</v>
      </c>
      <c r="E102" s="2187"/>
      <c r="F102" s="2187"/>
      <c r="G102" s="2187"/>
      <c r="H102" s="2187"/>
      <c r="I102" s="2187"/>
      <c r="J102" s="2187"/>
      <c r="K102" s="2187"/>
      <c r="L102" s="2187"/>
      <c r="M102" s="2187"/>
      <c r="O102" s="2048" t="s">
        <v>299</v>
      </c>
      <c r="P102" s="2047">
        <v>1495.2126260523089</v>
      </c>
      <c r="Q102" s="2051">
        <v>1648.9374094288496</v>
      </c>
      <c r="R102" s="2047">
        <v>1979.7436139308079</v>
      </c>
    </row>
    <row r="103" spans="4:18" s="82" customFormat="1" ht="15" customHeight="1" x14ac:dyDescent="0.35">
      <c r="D103" s="2187"/>
      <c r="E103" s="2187"/>
      <c r="F103" s="2187"/>
      <c r="G103" s="2187"/>
      <c r="H103" s="2187"/>
      <c r="I103" s="2187"/>
      <c r="J103" s="2187"/>
      <c r="K103" s="2187"/>
      <c r="L103" s="2187"/>
      <c r="M103" s="2187"/>
      <c r="N103"/>
      <c r="O103" s="129"/>
      <c r="P103" s="48"/>
      <c r="Q103" s="2018"/>
      <c r="R103" s="48"/>
    </row>
    <row r="104" spans="4:18" ht="15" customHeight="1" x14ac:dyDescent="0.35">
      <c r="D104" s="206" t="str">
        <f>$F28&amp;": User input. Default based on Internal Revenue Service, 26 U.S.C. § 168, Accessed May 23, 2024."</f>
        <v>[9]: User input. Default based on Internal Revenue Service, 26 U.S.C. § 168, Accessed May 23, 2024.</v>
      </c>
      <c r="E104" s="2170"/>
      <c r="F104" s="2170"/>
      <c r="G104" s="2170"/>
      <c r="H104" s="2170"/>
      <c r="I104" s="82"/>
      <c r="J104" s="82"/>
      <c r="K104" s="82"/>
      <c r="L104" s="82"/>
      <c r="M104" s="82"/>
      <c r="O104" s="142" t="s">
        <v>229</v>
      </c>
    </row>
    <row r="105" spans="4:18" ht="15" customHeight="1" x14ac:dyDescent="0.35">
      <c r="D105" s="2187" t="str">
        <f>F29&amp;": User input which can be adjusted to reflect different escalated costs based on additional tariffs on batteries and enclosures."&amp;" The default value is 1. To calculate the adjustment factor, first calculate the escalated batteries and enclosures costs with the updated tariff."&amp;" The adjustment factor is the updated batteries and enclosures costs divided  by the escalated batteries and enclosures costs in "&amp;'BESS Capital Costs'!$D$3&amp;". See '2025 Brattle CONE Report for PJM', Equation 1 for more details."</f>
        <v>[10]: User input which can be adjusted to reflect different escalated costs based on additional tariffs on batteries and enclosures. The default value is 1. To calculate the adjustment factor, first calculate the escalated batteries and enclosures costs with the updated tariff. The adjustment factor is the updated batteries and enclosures costs divided  by the escalated batteries and enclosures costs in Table B8. See '2025 Brattle CONE Report for PJM', Equation 1 for more details.</v>
      </c>
      <c r="E105" s="2187"/>
      <c r="F105" s="2187"/>
      <c r="G105" s="2187"/>
      <c r="H105" s="2187"/>
      <c r="I105" s="2187"/>
      <c r="J105" s="2187"/>
      <c r="K105" s="2187"/>
      <c r="L105" s="2187"/>
      <c r="M105" s="2187"/>
      <c r="O105" s="142"/>
    </row>
    <row r="106" spans="4:18" ht="15" customHeight="1" x14ac:dyDescent="0.35">
      <c r="D106" s="2187"/>
      <c r="E106" s="2187"/>
      <c r="F106" s="2187"/>
      <c r="G106" s="2187"/>
      <c r="H106" s="2187"/>
      <c r="I106" s="2187"/>
      <c r="J106" s="2187"/>
      <c r="K106" s="2187"/>
      <c r="L106" s="2187"/>
      <c r="M106" s="2187"/>
      <c r="O106" s="2022">
        <f ca="1">'Cash Flows'!$I$55</f>
        <v>0.16867594984333079</v>
      </c>
      <c r="P106" s="2049" t="s">
        <v>281</v>
      </c>
      <c r="Q106" s="2050" t="s">
        <v>283</v>
      </c>
      <c r="R106" s="2049" t="s">
        <v>282</v>
      </c>
    </row>
    <row r="107" spans="4:18" ht="15" customHeight="1" x14ac:dyDescent="0.35">
      <c r="D107" s="2187"/>
      <c r="E107" s="2187"/>
      <c r="F107" s="2187"/>
      <c r="G107" s="2187"/>
      <c r="H107" s="2187"/>
      <c r="I107" s="2187"/>
      <c r="J107" s="2187"/>
      <c r="K107" s="2187"/>
      <c r="L107" s="2187"/>
      <c r="M107" s="2187"/>
      <c r="O107" s="2048" t="s">
        <v>288</v>
      </c>
      <c r="P107" s="2052">
        <f t="dataTable" ref="P107:R111" dt2D="1" dtr="1" r1="H10" r2="H11" ca="1"/>
        <v>0.15978981896806638</v>
      </c>
      <c r="Q107" s="2162">
        <v>0.16952316351806235</v>
      </c>
      <c r="R107" s="2052">
        <v>9.6298786037737852E-2</v>
      </c>
    </row>
    <row r="108" spans="4:18" ht="15" customHeight="1" x14ac:dyDescent="0.35">
      <c r="D108" s="206" t="str">
        <f>F30&amp;": Battery component costs are assumed to be constant real for 5 years by default. To apply a real deescalation rate from the NREL ATB curve earlier, change this input to be the first year when deescalation applies."</f>
        <v>[11]: Battery component costs are assumed to be constant real for 5 years by default. To apply a real deescalation rate from the NREL ATB curve earlier, change this input to be the first year when deescalation applies.</v>
      </c>
      <c r="E108" s="206"/>
      <c r="F108" s="206"/>
      <c r="G108" s="206"/>
      <c r="H108" s="206"/>
      <c r="I108" s="82"/>
      <c r="J108" s="82"/>
      <c r="K108" s="82"/>
      <c r="L108" s="82"/>
      <c r="M108" s="82"/>
      <c r="O108" s="2048" t="s">
        <v>289</v>
      </c>
      <c r="P108" s="2052">
        <v>0.15930936252536554</v>
      </c>
      <c r="Q108" s="2162">
        <v>0.16892274077349831</v>
      </c>
      <c r="R108" s="2052">
        <v>9.6387306323573257E-2</v>
      </c>
    </row>
    <row r="109" spans="4:18" ht="15" customHeight="1" x14ac:dyDescent="0.35">
      <c r="D109" s="206" t="str">
        <f>F36&amp;": Derived from "&amp;F19&amp;" and drawdown schedules in "&amp;'S&amp;L Capital Drawdown Schedule'!$D$3&amp;"."</f>
        <v>[12]: Derived from [2] and drawdown schedules in Table C14.</v>
      </c>
      <c r="E109" s="206"/>
      <c r="F109" s="206"/>
      <c r="G109" s="206"/>
      <c r="H109" s="206"/>
      <c r="I109" s="82"/>
      <c r="J109" s="82"/>
      <c r="K109" s="82"/>
      <c r="L109" s="82"/>
      <c r="M109" s="82"/>
      <c r="O109" s="2048" t="s">
        <v>290</v>
      </c>
      <c r="P109" s="2052">
        <v>0.15911801858415633</v>
      </c>
      <c r="Q109" s="2162">
        <v>0.16867594984333079</v>
      </c>
      <c r="R109" s="2052">
        <v>9.6241453027474028E-2</v>
      </c>
    </row>
    <row r="110" spans="4:18" ht="15" customHeight="1" x14ac:dyDescent="0.35">
      <c r="D110" s="206" t="str">
        <f>F37&amp;": Assumes that equipment sales contracts are signed shortly after cost estimate date based on S&amp;L professional experience. This is 5 months into the project development period for CT and CC, and 4 months for BESS."</f>
        <v>[13]: Assumes that equipment sales contracts are signed shortly after cost estimate date based on S&amp;L professional experience. This is 5 months into the project development period for CT and CC, and 4 months for BESS.</v>
      </c>
      <c r="E110" s="206"/>
      <c r="F110" s="206"/>
      <c r="G110" s="206"/>
      <c r="H110" s="206"/>
      <c r="I110" s="82"/>
      <c r="J110" s="82"/>
      <c r="K110" s="82"/>
      <c r="L110" s="82"/>
      <c r="M110" s="82"/>
      <c r="O110" s="2048" t="s">
        <v>291</v>
      </c>
      <c r="P110" s="2052">
        <v>0.15914091612912692</v>
      </c>
      <c r="Q110" s="2162">
        <v>0.16870911311735565</v>
      </c>
      <c r="R110" s="2052">
        <v>9.6314320859413757E-2</v>
      </c>
    </row>
    <row r="111" spans="4:18" ht="15" customHeight="1" x14ac:dyDescent="0.35">
      <c r="D111" s="206" t="str">
        <f>$F39&amp;": Based on commercial online date from "&amp;$F$19&amp;" and capital drawdown schedule established in "&amp;'S&amp;L Capital Drawdown Schedule'!$D$3&amp;"."</f>
        <v>[15]: Based on commercial online date from [2] and capital drawdown schedule established in Table C14.</v>
      </c>
      <c r="E111" s="2170"/>
      <c r="F111" s="2170"/>
      <c r="G111" s="2170"/>
      <c r="H111" s="2170"/>
      <c r="I111" s="82"/>
      <c r="J111" s="82"/>
      <c r="K111" s="82"/>
      <c r="L111" s="82"/>
      <c r="M111" s="82"/>
      <c r="O111" s="2048" t="s">
        <v>299</v>
      </c>
      <c r="P111" s="2052">
        <v>0.17822941297717404</v>
      </c>
      <c r="Q111" s="2162">
        <v>0.18790154206710236</v>
      </c>
      <c r="R111" s="2052">
        <v>9.613812527284453E-2</v>
      </c>
    </row>
    <row r="112" spans="4:18" ht="15" customHeight="1" x14ac:dyDescent="0.35">
      <c r="D112" s="206" t="str">
        <f>$F42&amp;": If the technology selected is "&amp;$I$10&amp;" or "&amp;J10&amp;", plant capacity is from "&amp;'S&amp;L CC+CT - Cost Assumptions'!$D$3&amp;". If the technology selected is "&amp;$K$10&amp;", plant capacity is from "&amp;'S&amp;L BESS - Cost Assumptions'!$D$3&amp;"."</f>
        <v>[16]: If the technology selected is CT or CC, plant capacity is from Table C7. If the technology selected is BESS, plant capacity is from Table C10.</v>
      </c>
      <c r="E112" s="206"/>
      <c r="F112" s="206"/>
      <c r="G112" s="206"/>
      <c r="H112" s="206"/>
      <c r="I112" s="82"/>
      <c r="J112" s="82"/>
      <c r="K112" s="82"/>
      <c r="L112" s="82"/>
      <c r="M112" s="82"/>
    </row>
    <row r="113" spans="2:18" ht="15" customHeight="1" x14ac:dyDescent="0.35">
      <c r="D113" s="2187" t="str">
        <f>$F45&amp;": If technology is a CT or a CC in COMED, January 1, 2045 - YEAR("&amp;F19&amp;"), rounded to the nearest half-year. Otherwise, a 20-year life is assumed for all resources. To set a custom economic life, use the 'Economic Life Override' in User Switches."</f>
        <v>[17]: If technology is a CT or a CC in COMED, January 1, 2045 - YEAR([2]), rounded to the nearest half-year. Otherwise, a 20-year life is assumed for all resources. To set a custom economic life, use the 'Economic Life Override' in User Switches.</v>
      </c>
      <c r="E113" s="2187"/>
      <c r="F113" s="2187"/>
      <c r="G113" s="2187"/>
      <c r="H113" s="2187"/>
      <c r="I113" s="2187"/>
      <c r="J113" s="2187"/>
      <c r="K113" s="2187"/>
      <c r="L113" s="2187"/>
      <c r="M113" s="2187"/>
      <c r="O113" s="142" t="s">
        <v>627</v>
      </c>
    </row>
    <row r="114" spans="2:18" ht="15" customHeight="1" x14ac:dyDescent="0.35">
      <c r="D114" s="2187"/>
      <c r="E114" s="2187"/>
      <c r="F114" s="2187"/>
      <c r="G114" s="2187"/>
      <c r="H114" s="2187"/>
      <c r="I114" s="2187"/>
      <c r="J114" s="2187"/>
      <c r="K114" s="2187"/>
      <c r="L114" s="2187"/>
      <c r="M114" s="2187"/>
      <c r="O114" s="2027">
        <f ca="1">'Cash Flows'!$H$56</f>
        <v>157.46183331363375</v>
      </c>
      <c r="P114" s="2023" t="s">
        <v>281</v>
      </c>
      <c r="Q114" s="2024" t="s">
        <v>283</v>
      </c>
      <c r="R114" s="2023" t="s">
        <v>282</v>
      </c>
    </row>
    <row r="115" spans="2:18" ht="15" customHeight="1" x14ac:dyDescent="0.35">
      <c r="D115" s="2187" t="str">
        <f>$F46&amp;": If the levelization method selected is "&amp;$I$12&amp;", the revenue escalation rate is set equal to "&amp;$F$53&amp;". If "&amp;$J$12&amp;", the revenue escalation rate is set equal to 1.1%. If "&amp;$K$12&amp;", the revenue escalation rate is set equal to 0%."</f>
        <v>[18]: If the levelization method selected is Level-Real, the revenue escalation rate is set equal to [22]. If Intermediate, the revenue escalation rate is set equal to 1.1%. If Level-Nominal, the revenue escalation rate is set equal to 0%.</v>
      </c>
      <c r="E115" s="2187"/>
      <c r="F115" s="2187"/>
      <c r="G115" s="2187"/>
      <c r="H115" s="2187"/>
      <c r="I115" s="2187"/>
      <c r="J115" s="2187"/>
      <c r="K115" s="2187"/>
      <c r="L115" s="2187"/>
      <c r="M115" s="2187"/>
      <c r="N115" s="2082"/>
      <c r="O115" s="2021" t="s">
        <v>288</v>
      </c>
      <c r="P115" s="2047">
        <f t="dataTable" ref="P115:R119" dt2D="1" dtr="1" r1="H10" r2="H11" ca="1"/>
        <v>58.781929172011701</v>
      </c>
      <c r="Q115" s="2026">
        <v>111.611614348019</v>
      </c>
      <c r="R115" s="2025">
        <v>196.84459391338794</v>
      </c>
    </row>
    <row r="116" spans="2:18" ht="15" customHeight="1" x14ac:dyDescent="0.35">
      <c r="D116" s="2187"/>
      <c r="E116" s="2187"/>
      <c r="F116" s="2187"/>
      <c r="G116" s="2187"/>
      <c r="H116" s="2187"/>
      <c r="I116" s="2187"/>
      <c r="J116" s="2187"/>
      <c r="K116" s="2187"/>
      <c r="L116" s="2187"/>
      <c r="M116" s="2187"/>
      <c r="N116" s="2082"/>
      <c r="O116" s="2021" t="s">
        <v>289</v>
      </c>
      <c r="P116" s="2025">
        <v>90.937958266308144</v>
      </c>
      <c r="Q116" s="2026">
        <v>165.83019137909008</v>
      </c>
      <c r="R116" s="2025">
        <v>208.02503049798432</v>
      </c>
    </row>
    <row r="117" spans="2:18" ht="15" customHeight="1" x14ac:dyDescent="0.35">
      <c r="B117" s="61"/>
      <c r="C117" s="61"/>
      <c r="D117" s="2187" t="str">
        <f>$F51&amp;": If the technology selected is "&amp;$I$10&amp;", the default tax depreciation schedule is the 15-year MACRS. If "&amp;J10&amp;", the default tax depreciation schedule is the 20-year MACRS. If "&amp;$K$10&amp;", the default tax depreciation schedule is the 7-year MACRS."</f>
        <v>[21]: If the technology selected is CT, the default tax depreciation schedule is the 15-year MACRS. If CC, the default tax depreciation schedule is the 20-year MACRS. If BESS, the default tax depreciation schedule is the 7-year MACRS.</v>
      </c>
      <c r="E117" s="2187"/>
      <c r="F117" s="2187"/>
      <c r="G117" s="2187"/>
      <c r="H117" s="2187"/>
      <c r="I117" s="2187"/>
      <c r="J117" s="2187"/>
      <c r="K117" s="2187"/>
      <c r="L117" s="2187"/>
      <c r="M117" s="2187"/>
      <c r="N117" s="2082"/>
      <c r="O117" s="2021" t="s">
        <v>290</v>
      </c>
      <c r="P117" s="2025">
        <v>69.378246025022023</v>
      </c>
      <c r="Q117" s="2026">
        <v>157.46183331363375</v>
      </c>
      <c r="R117" s="2025">
        <v>190.90319809083852</v>
      </c>
    </row>
    <row r="118" spans="2:18" ht="15" customHeight="1" x14ac:dyDescent="0.35">
      <c r="B118" s="61"/>
      <c r="C118" s="61"/>
      <c r="D118" s="2187"/>
      <c r="E118" s="2187"/>
      <c r="F118" s="2187"/>
      <c r="G118" s="2187"/>
      <c r="H118" s="2187"/>
      <c r="I118" s="2187"/>
      <c r="J118" s="2187"/>
      <c r="K118" s="2187"/>
      <c r="L118" s="2187"/>
      <c r="M118" s="2187"/>
      <c r="N118" s="2082"/>
      <c r="O118" s="2021" t="s">
        <v>291</v>
      </c>
      <c r="P118" s="2025">
        <v>58.10372738910192</v>
      </c>
      <c r="Q118" s="2026">
        <v>131.69083722631422</v>
      </c>
      <c r="R118" s="2025">
        <v>196.4426284131184</v>
      </c>
    </row>
    <row r="119" spans="2:18" ht="15" customHeight="1" x14ac:dyDescent="0.35">
      <c r="B119" s="61"/>
      <c r="C119" s="61"/>
      <c r="D119" s="206" t="str">
        <f>$F59&amp;": "&amp;$F$48&amp;" + ((1 - "&amp;$F$48&amp;") x "&amp;$F$49&amp;")."</f>
        <v>[25]: [19] + ((1 - [19]) x [20]).</v>
      </c>
      <c r="E119" s="82"/>
      <c r="F119" s="82"/>
      <c r="G119" s="82"/>
      <c r="I119" s="82"/>
      <c r="J119" s="82"/>
      <c r="K119" s="82"/>
      <c r="L119" s="82"/>
      <c r="M119" s="82"/>
      <c r="N119" s="2082"/>
      <c r="O119" s="2021" t="s">
        <v>299</v>
      </c>
      <c r="P119" s="2025">
        <v>58.489794212574402</v>
      </c>
      <c r="Q119" s="2026">
        <v>104.59071977000416</v>
      </c>
      <c r="R119" s="2025">
        <v>204.18441092063185</v>
      </c>
    </row>
    <row r="120" spans="2:18" ht="15" customHeight="1" x14ac:dyDescent="0.35">
      <c r="B120" s="61"/>
      <c r="C120" s="61"/>
      <c r="D120" s="206" t="str">
        <f>$F60&amp;": ("&amp;$F$24&amp;" x (1 - "&amp;$F$22&amp;")) + ("&amp;$F$23&amp;" x "&amp;$F$22&amp;" x (1 - "&amp;$F$59&amp;")) + "&amp;$F$21&amp;"."</f>
        <v>[26]: ([6] x (1 - [4])) + ([5] x [4] x (1 - [25])) + [3].</v>
      </c>
      <c r="E120" s="82"/>
      <c r="F120" s="82"/>
      <c r="G120" s="82"/>
      <c r="I120" s="82"/>
      <c r="J120" s="82"/>
      <c r="K120" s="82"/>
      <c r="L120" s="82"/>
      <c r="M120" s="82"/>
      <c r="N120" s="2082"/>
    </row>
    <row r="121" spans="2:18" ht="15" customHeight="1" x14ac:dyDescent="0.35">
      <c r="B121" s="61"/>
      <c r="C121" s="61"/>
      <c r="D121" s="46" t="str">
        <f>F83&amp;": (CONE - Levelized O&amp;M)/Overnight Capital Cost, from "&amp;'Cash Flows'!$D$3&amp;"."</f>
        <v>[40]: (CONE - Levelized O&amp;M)/Overnight Capital Cost, from Table A1.</v>
      </c>
      <c r="E121" s="82"/>
      <c r="F121" s="82"/>
      <c r="G121" s="82"/>
      <c r="I121" s="82"/>
      <c r="J121" s="82"/>
      <c r="K121" s="82"/>
      <c r="L121" s="82"/>
      <c r="M121" s="82"/>
    </row>
    <row r="122" spans="2:18" ht="15" customHeight="1" x14ac:dyDescent="0.35">
      <c r="B122" s="61"/>
      <c r="C122" s="61"/>
      <c r="D122" s="46" t="str">
        <f>F91&amp;": BESS only. "&amp;$F$75&amp;" including augmentation costs."</f>
        <v>[48]: BESS only. [35] including augmentation costs.</v>
      </c>
      <c r="E122" s="82"/>
      <c r="F122" s="82"/>
      <c r="G122" s="82"/>
      <c r="I122" s="82"/>
      <c r="J122" s="82"/>
      <c r="K122" s="82"/>
      <c r="L122" s="82"/>
      <c r="M122" s="82"/>
    </row>
    <row r="123" spans="2:18" ht="15" customHeight="1" x14ac:dyDescent="0.35">
      <c r="D123" s="46" t="str">
        <f>F92&amp;": BESS only. "&amp;$F$75&amp;" excluding augmentation costs."</f>
        <v>[49]: BESS only. [35] excluding augmentation costs.</v>
      </c>
      <c r="E123" s="82"/>
      <c r="F123" s="82"/>
      <c r="G123" s="82"/>
      <c r="I123" s="82"/>
      <c r="J123" s="82"/>
      <c r="K123" s="82"/>
      <c r="L123" s="82"/>
      <c r="M123" s="82"/>
    </row>
    <row r="124" spans="2:18" ht="15" customHeight="1" x14ac:dyDescent="0.35">
      <c r="C124" s="8"/>
      <c r="E124" s="82"/>
      <c r="F124" s="82"/>
      <c r="G124" s="82"/>
      <c r="I124" s="82"/>
      <c r="J124" s="82"/>
      <c r="K124" s="82"/>
      <c r="L124" s="82"/>
      <c r="M124" s="82"/>
    </row>
    <row r="125" spans="2:18" ht="15" customHeight="1" x14ac:dyDescent="0.35"/>
    <row r="126" spans="2:18" ht="15" customHeight="1" x14ac:dyDescent="0.35"/>
    <row r="127" spans="2:18" ht="15" customHeight="1" x14ac:dyDescent="0.35"/>
    <row r="128" spans="2:18" ht="15" customHeight="1" x14ac:dyDescent="0.35"/>
    <row r="129" spans="5:8" ht="15" customHeight="1" x14ac:dyDescent="0.35"/>
    <row r="130" spans="5:8" ht="15" customHeight="1" x14ac:dyDescent="0.35"/>
    <row r="131" spans="5:8" ht="15" customHeight="1" x14ac:dyDescent="0.35"/>
    <row r="132" spans="5:8" ht="15" customHeight="1" x14ac:dyDescent="0.35"/>
    <row r="133" spans="5:8" ht="15" customHeight="1" x14ac:dyDescent="0.35"/>
    <row r="134" spans="5:8" ht="15" customHeight="1" x14ac:dyDescent="0.35">
      <c r="E134" s="2082"/>
      <c r="F134" s="2082"/>
      <c r="G134" s="2082"/>
      <c r="H134" s="2082"/>
    </row>
    <row r="135" spans="5:8" ht="15" customHeight="1" x14ac:dyDescent="0.35">
      <c r="E135" s="206"/>
      <c r="F135" s="206"/>
      <c r="G135" s="206"/>
      <c r="H135" s="206"/>
    </row>
    <row r="136" spans="5:8" ht="15" customHeight="1" x14ac:dyDescent="0.35">
      <c r="E136" s="206"/>
      <c r="F136" s="206"/>
      <c r="G136" s="206"/>
      <c r="H136" s="206"/>
    </row>
    <row r="137" spans="5:8" ht="15" customHeight="1" x14ac:dyDescent="0.35">
      <c r="E137" s="206"/>
      <c r="F137" s="206"/>
      <c r="G137" s="206"/>
      <c r="H137" s="206"/>
    </row>
    <row r="138" spans="5:8" ht="15" customHeight="1" x14ac:dyDescent="0.35"/>
    <row r="139" spans="5:8" ht="15" customHeight="1" x14ac:dyDescent="0.35"/>
    <row r="140" spans="5:8" ht="15" customHeight="1" x14ac:dyDescent="0.35">
      <c r="E140" s="2082"/>
      <c r="F140" s="2082"/>
      <c r="G140" s="2082"/>
      <c r="H140" s="2082"/>
    </row>
    <row r="141" spans="5:8" ht="15" customHeight="1" x14ac:dyDescent="0.35">
      <c r="E141" s="1196"/>
      <c r="F141" s="1196"/>
      <c r="G141" s="1196"/>
      <c r="H141" s="206"/>
    </row>
    <row r="142" spans="5:8" ht="15" customHeight="1" x14ac:dyDescent="0.35"/>
    <row r="143" spans="5:8" ht="15" customHeight="1" x14ac:dyDescent="0.35"/>
    <row r="148" spans="5:8" x14ac:dyDescent="0.35">
      <c r="E148" s="1196"/>
      <c r="F148" s="1196"/>
      <c r="G148" s="1196"/>
      <c r="H148" s="206"/>
    </row>
    <row r="149" spans="5:8" x14ac:dyDescent="0.35">
      <c r="E149" s="1196"/>
      <c r="F149" s="1196"/>
      <c r="G149" s="1196"/>
      <c r="H149" s="206"/>
    </row>
    <row r="150" spans="5:8" x14ac:dyDescent="0.35">
      <c r="E150" s="149"/>
      <c r="F150" s="149"/>
      <c r="G150" s="149"/>
    </row>
    <row r="151" spans="5:8" x14ac:dyDescent="0.35">
      <c r="E151" s="149"/>
      <c r="F151" s="149"/>
      <c r="G151" s="149"/>
    </row>
    <row r="152" spans="5:8" x14ac:dyDescent="0.35">
      <c r="E152" s="149"/>
      <c r="F152" s="149"/>
      <c r="G152" s="149"/>
    </row>
    <row r="153" spans="5:8" x14ac:dyDescent="0.35">
      <c r="E153" s="149"/>
      <c r="F153" s="149"/>
      <c r="G153" s="149"/>
    </row>
  </sheetData>
  <mergeCells count="5">
    <mergeCell ref="D102:M103"/>
    <mergeCell ref="D105:M107"/>
    <mergeCell ref="D113:M114"/>
    <mergeCell ref="D115:M116"/>
    <mergeCell ref="D117:M118"/>
  </mergeCells>
  <phoneticPr fontId="26" type="noConversion"/>
  <dataValidations xWindow="811" yWindow="572" count="11">
    <dataValidation type="list" allowBlank="1" showInputMessage="1" showErrorMessage="1" sqref="H12" xr:uid="{025B090A-44AB-4973-BD1C-7882DDA86394}">
      <formula1>$I$12:$K$12</formula1>
    </dataValidation>
    <dataValidation type="list" allowBlank="1" showInputMessage="1" showErrorMessage="1" sqref="H11" xr:uid="{E041DB33-25B0-4B3A-B77C-FB31B965EB72}">
      <formula1>$I$11:$M$11</formula1>
    </dataValidation>
    <dataValidation type="list" allowBlank="1" showInputMessage="1" showErrorMessage="1" sqref="H10" xr:uid="{8BFA1B9D-4FEC-403C-9ADB-E79EAC7AE283}">
      <formula1>$I$10:$K$10</formula1>
    </dataValidation>
    <dataValidation type="list" allowBlank="1" showInputMessage="1" showErrorMessage="1" sqref="P91" xr:uid="{1BA67280-85CF-40B0-8B23-C96A293E1243}">
      <formula1>#REF!</formula1>
    </dataValidation>
    <dataValidation type="decimal" allowBlank="1" showInputMessage="1" showErrorMessage="1" errorTitle="Invalid Economic Life" error="Economic life must be greater than 0 and less than 25." promptTitle="Economic Life Override" prompt="To use the default economic life, leave this cell blank. To override the economic life, input the desired economic life in years into this cell._x000a__x000a_Economic life must be between 10 and 25 years, expressed in whole years or half-years only." sqref="H13" xr:uid="{70D3CCDA-0A18-4FEF-B612-E69276C3E658}">
      <formula1>10</formula1>
      <formula2>25</formula2>
    </dataValidation>
    <dataValidation type="decimal" allowBlank="1" showInputMessage="1" showErrorMessage="1" errorTitle="Invalid Debt Fraction" error="Please enter a percentage between 0% and 100%." sqref="H22" xr:uid="{6AAC9BC8-FCF1-45BB-83B3-494A6D8DAC26}">
      <formula1>0</formula1>
      <formula2>1</formula2>
    </dataValidation>
    <dataValidation type="whole" allowBlank="1" showInputMessage="1" showErrorMessage="1" errorTitle="Invalid Year" error="Please enter a year between 2026 and 2050." sqref="H30" xr:uid="{B7C023F6-37B8-4BDB-90AC-730F2A158A98}">
      <formula1>2026</formula1>
      <formula2>2050</formula2>
    </dataValidation>
    <dataValidation type="decimal" operator="greaterThan" allowBlank="1" showInputMessage="1" showErrorMessage="1" errorTitle="Invalid Adjustment Factor" error="Adjustment factor must be greater than 0." sqref="H29" xr:uid="{49F84EBB-9F48-4C0D-882C-E1E12CAF462B}">
      <formula1>0</formula1>
    </dataValidation>
    <dataValidation type="whole" operator="greaterThanOrEqual" allowBlank="1" showInputMessage="1" showErrorMessage="1" errorTitle="Invalid Date" error="Cost estimate date must be January 1, 2024 or later." promptTitle="Cost Estimate Date" prompt="Cost estimate date must be later than January 1, 2024 and before the Online Date, and must be entered as the first day of the month." sqref="H18" xr:uid="{B7134F44-FA08-43BD-8A7E-D7AB766B5BCB}">
      <formula1>45292</formula1>
    </dataValidation>
    <dataValidation type="list" allowBlank="1" showInputMessage="1" showErrorMessage="1" promptTitle="Tax Depreciation Override" prompt="To use the default tax depreciation schedule described in the notes, leave this cell blank. To override the tax depreciation schedule, select from the dropdown list in this cell." sqref="H14" xr:uid="{D8F38EFF-6236-48E2-BBFD-7AE7AB237206}">
      <formula1>$O$17:$O$26</formula1>
    </dataValidation>
    <dataValidation allowBlank="1" showInputMessage="1" showErrorMessage="1" errorTitle="Invalid Online Date" error="Please choose a valid online date." promptTitle="Online Date" prompt="Online date must allow time for the full construction schedule of any technology and cannot extend the project life beyond 2050._x000a__x000a_The online date must be entered as the first day of any month between 1-Jan-2028 and 1-Dec-2050 minus the economic life." sqref="H19" xr:uid="{CB5D38AD-EC27-43BD-ACA2-DCA5E56082A6}"/>
  </dataValidations>
  <pageMargins left="0.7" right="0.7" top="0.75" bottom="0.75" header="0.3" footer="0.3"/>
  <pageSetup orientation="portrait" r:id="rId1"/>
  <headerFooter>
    <oddFooter>&amp;CSubject to the Disclaimer on the Cover Sheet.</oddFooter>
  </headerFooter>
  <ignoredErrors>
    <ignoredError sqref="H75:H76 H77:L78 H93 H80:M92 I93:M9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C9DF-C127-4DDE-91BB-A96459DB4B23}">
  <sheetPr codeName="Sheet4">
    <tabColor theme="1"/>
    <pageSetUpPr autoPageBreaks="0"/>
  </sheetPr>
  <dimension ref="A1"/>
  <sheetViews>
    <sheetView topLeftCell="A1048576" zoomScale="70" zoomScaleNormal="70" workbookViewId="0">
      <selection activeCell="A1048576" sqref="A1048576"/>
    </sheetView>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D359-1B29-4119-AFA8-AC5A4018E226}">
  <sheetPr>
    <pageSetUpPr autoPageBreaks="0"/>
  </sheetPr>
  <dimension ref="A1:Q43"/>
  <sheetViews>
    <sheetView showGridLines="0" zoomScale="70" zoomScaleNormal="70" workbookViewId="0"/>
  </sheetViews>
  <sheetFormatPr defaultColWidth="8.7265625" defaultRowHeight="15" customHeight="1" outlineLevelCol="1" x14ac:dyDescent="0.35"/>
  <cols>
    <col min="1" max="3" width="10.54296875" style="952" customWidth="1"/>
    <col min="4" max="4" width="40.54296875" style="952" customWidth="1"/>
    <col min="5" max="5" width="11.453125" style="952" bestFit="1" customWidth="1"/>
    <col min="6" max="6" width="11.81640625" style="952" bestFit="1" customWidth="1"/>
    <col min="7" max="7" width="13.1796875" style="952" bestFit="1" customWidth="1"/>
    <col min="8" max="8" width="11.1796875" style="952" bestFit="1" customWidth="1"/>
    <col min="9" max="9" width="11.54296875" style="952" bestFit="1" customWidth="1"/>
    <col min="10" max="11" width="10.54296875" style="952" bestFit="1" customWidth="1"/>
    <col min="12" max="12" width="9.81640625" style="952" bestFit="1" customWidth="1"/>
    <col min="13" max="13" width="10.54296875" style="952" bestFit="1" customWidth="1"/>
    <col min="14" max="14" width="15.1796875" style="952" customWidth="1"/>
    <col min="15" max="15" width="15.7265625" style="1200" hidden="1" customWidth="1" outlineLevel="1"/>
    <col min="16" max="16" width="8.7265625" style="1200" hidden="1" customWidth="1" outlineLevel="1"/>
    <col min="17" max="17" width="8.7265625" style="952" collapsed="1"/>
    <col min="18" max="16384" width="8.7265625" style="952"/>
  </cols>
  <sheetData>
    <row r="1" spans="1:16" ht="15" customHeight="1" x14ac:dyDescent="0.35">
      <c r="A1" s="1095" t="s">
        <v>275</v>
      </c>
      <c r="E1" s="1096">
        <v>65</v>
      </c>
      <c r="F1" s="1096">
        <f>E1+1</f>
        <v>66</v>
      </c>
      <c r="G1" s="1096">
        <f t="shared" ref="G1:M1" si="0">F1+1</f>
        <v>67</v>
      </c>
      <c r="H1" s="1096">
        <f t="shared" si="0"/>
        <v>68</v>
      </c>
      <c r="I1" s="1096">
        <f t="shared" si="0"/>
        <v>69</v>
      </c>
      <c r="J1" s="1096">
        <f t="shared" si="0"/>
        <v>70</v>
      </c>
      <c r="K1" s="1096">
        <f t="shared" si="0"/>
        <v>71</v>
      </c>
      <c r="L1" s="1096">
        <f t="shared" si="0"/>
        <v>72</v>
      </c>
      <c r="M1" s="1096">
        <f t="shared" si="0"/>
        <v>73</v>
      </c>
      <c r="N1" s="1096"/>
      <c r="O1" s="1199"/>
      <c r="P1" s="1334"/>
    </row>
    <row r="2" spans="1:16" ht="15" customHeight="1" x14ac:dyDescent="0.35">
      <c r="D2" s="1159"/>
      <c r="E2" s="953"/>
      <c r="F2" s="956"/>
      <c r="O2" s="1199"/>
      <c r="P2" s="1334"/>
    </row>
    <row r="3" spans="1:16" ht="15" customHeight="1" x14ac:dyDescent="0.35">
      <c r="D3" s="9" t="str">
        <f>LEFT(D4,FIND(":",D4)-1)</f>
        <v>Table T1</v>
      </c>
      <c r="H3" s="346"/>
      <c r="M3" s="1843"/>
      <c r="O3" s="1201"/>
      <c r="P3" s="1201"/>
    </row>
    <row r="4" spans="1:16" ht="15" customHeight="1" x14ac:dyDescent="0.35">
      <c r="D4" s="1642" t="str">
        <f>ToC!$J$8</f>
        <v>Table T1: Indicative Net CONE and Other Benchmarks (RTO)</v>
      </c>
      <c r="I4" s="1843"/>
      <c r="O4" s="1201"/>
      <c r="P4" s="1201"/>
    </row>
    <row r="5" spans="1:16" ht="6" customHeight="1" thickBot="1" x14ac:dyDescent="0.2">
      <c r="D5" s="1097"/>
      <c r="E5" s="1098"/>
      <c r="F5" s="1098"/>
      <c r="G5" s="1098"/>
      <c r="H5" s="1098"/>
      <c r="I5" s="1098"/>
      <c r="J5" s="1098"/>
      <c r="K5" s="1098"/>
      <c r="L5" s="1098"/>
      <c r="M5" s="1098"/>
      <c r="N5" s="1100"/>
    </row>
    <row r="6" spans="1:16" ht="6" customHeight="1" thickTop="1" x14ac:dyDescent="0.15">
      <c r="D6" s="1099"/>
      <c r="E6" s="1100"/>
      <c r="F6" s="1100"/>
      <c r="G6" s="1100"/>
      <c r="H6" s="1100"/>
      <c r="I6" s="1100"/>
      <c r="J6" s="1100"/>
      <c r="K6" s="1100"/>
      <c r="L6" s="1100"/>
      <c r="M6" s="1100"/>
      <c r="N6" s="1100"/>
    </row>
    <row r="7" spans="1:16" ht="30" customHeight="1" x14ac:dyDescent="0.35">
      <c r="D7" s="329"/>
      <c r="E7" s="2085" t="s">
        <v>595</v>
      </c>
      <c r="F7" s="2085" t="s">
        <v>596</v>
      </c>
      <c r="G7" s="2085" t="s">
        <v>482</v>
      </c>
      <c r="H7" s="2085" t="s">
        <v>597</v>
      </c>
      <c r="I7" s="2085" t="s">
        <v>598</v>
      </c>
      <c r="J7" s="2085" t="s">
        <v>599</v>
      </c>
      <c r="K7" s="2085" t="s">
        <v>600</v>
      </c>
      <c r="L7" s="1807" t="s">
        <v>483</v>
      </c>
      <c r="M7" s="2085" t="s">
        <v>601</v>
      </c>
      <c r="N7" s="1101"/>
      <c r="O7" s="2045"/>
      <c r="P7" s="1201"/>
    </row>
    <row r="8" spans="1:16" ht="15" customHeight="1" x14ac:dyDescent="0.35">
      <c r="D8"/>
      <c r="E8" s="8" t="str">
        <f t="shared" ref="E8:M8" si="1">"["&amp;CHAR(E1)&amp;"]"</f>
        <v>[A]</v>
      </c>
      <c r="F8" s="8" t="str">
        <f t="shared" si="1"/>
        <v>[B]</v>
      </c>
      <c r="G8" s="8" t="str">
        <f t="shared" si="1"/>
        <v>[C]</v>
      </c>
      <c r="H8" s="8" t="str">
        <f t="shared" si="1"/>
        <v>[D]</v>
      </c>
      <c r="I8" s="8" t="str">
        <f t="shared" si="1"/>
        <v>[E]</v>
      </c>
      <c r="J8" s="8" t="str">
        <f t="shared" si="1"/>
        <v>[F]</v>
      </c>
      <c r="K8" s="8" t="str">
        <f t="shared" si="1"/>
        <v>[G]</v>
      </c>
      <c r="L8" s="8" t="str">
        <f t="shared" si="1"/>
        <v>[H]</v>
      </c>
      <c r="M8" s="8" t="str">
        <f t="shared" si="1"/>
        <v>[I]</v>
      </c>
      <c r="N8" s="8"/>
      <c r="O8" s="2045"/>
      <c r="P8" s="1201"/>
    </row>
    <row r="9" spans="1:16" ht="15" customHeight="1" x14ac:dyDescent="0.35">
      <c r="E9" s="1805" t="s">
        <v>5</v>
      </c>
      <c r="F9" s="1805" t="s">
        <v>507</v>
      </c>
      <c r="G9" s="1805" t="s">
        <v>485</v>
      </c>
      <c r="H9" s="1805" t="s">
        <v>485</v>
      </c>
      <c r="I9" s="1805" t="s">
        <v>485</v>
      </c>
      <c r="J9" s="1805" t="s">
        <v>485</v>
      </c>
      <c r="K9" s="1805" t="s">
        <v>485</v>
      </c>
      <c r="L9" s="1805" t="s">
        <v>10</v>
      </c>
      <c r="M9" s="1805" t="s">
        <v>485</v>
      </c>
      <c r="N9" s="1102"/>
      <c r="O9" s="2046"/>
      <c r="P9" s="1201"/>
    </row>
    <row r="10" spans="1:16" ht="15" customHeight="1" x14ac:dyDescent="0.35">
      <c r="D10" t="str">
        <f>"Nominal$ for "&amp;YEAR(Control!$H$19)&amp;" Online Year"</f>
        <v>Nominal$ for 2028 Online Year</v>
      </c>
      <c r="E10" s="95" t="s">
        <v>39</v>
      </c>
      <c r="F10" s="95" t="s">
        <v>39</v>
      </c>
      <c r="G10" s="95" t="s">
        <v>39</v>
      </c>
      <c r="H10" s="95" t="s">
        <v>39</v>
      </c>
      <c r="I10" s="95" t="str">
        <f>G8&amp;" + "&amp;H8</f>
        <v>[C] + [D]</v>
      </c>
      <c r="J10" s="95" t="s">
        <v>39</v>
      </c>
      <c r="K10" s="95" t="str">
        <f>I8&amp;" - "&amp;J8</f>
        <v>[E] - [F]</v>
      </c>
      <c r="L10" s="95" t="s">
        <v>39</v>
      </c>
      <c r="M10" s="95" t="str">
        <f>K8&amp;" / "&amp;L8</f>
        <v>[G] / [H]</v>
      </c>
      <c r="N10" s="8"/>
    </row>
    <row r="11" spans="1:16" ht="6" customHeight="1" x14ac:dyDescent="0.15">
      <c r="D11" s="310"/>
      <c r="E11" s="1103"/>
      <c r="F11" s="1103"/>
      <c r="G11" s="1103"/>
      <c r="H11" s="1103"/>
      <c r="I11" s="1103"/>
      <c r="J11" s="1103"/>
      <c r="K11" s="1103"/>
      <c r="L11" s="1103"/>
      <c r="M11" s="1103"/>
      <c r="N11" s="1105"/>
    </row>
    <row r="12" spans="1:16" ht="6" customHeight="1" x14ac:dyDescent="0.15">
      <c r="D12" s="311"/>
      <c r="E12" s="1104"/>
      <c r="F12" s="1104"/>
      <c r="G12" s="1104"/>
      <c r="H12" s="1104"/>
      <c r="I12" s="1104"/>
      <c r="J12" s="1104"/>
      <c r="K12" s="1104"/>
      <c r="L12" s="1104"/>
      <c r="M12" s="1104"/>
      <c r="N12" s="1105"/>
    </row>
    <row r="13" spans="1:16" ht="15" customHeight="1" x14ac:dyDescent="0.15">
      <c r="C13" s="2230" t="s">
        <v>698</v>
      </c>
      <c r="D13" s="1814" t="s">
        <v>624</v>
      </c>
      <c r="E13" s="1815"/>
      <c r="F13" s="1815"/>
      <c r="G13" s="1815"/>
      <c r="H13" s="1815"/>
      <c r="I13" s="1815"/>
      <c r="J13" s="1815"/>
      <c r="K13" s="1815"/>
      <c r="L13" s="1815"/>
      <c r="M13" s="1815"/>
      <c r="N13" s="1105"/>
      <c r="O13" s="1203"/>
      <c r="P13" s="1822"/>
    </row>
    <row r="14" spans="1:16" s="1195" customFormat="1" ht="15" customHeight="1" x14ac:dyDescent="0.35">
      <c r="D14" s="2015" t="s">
        <v>281</v>
      </c>
      <c r="E14" s="1836">
        <f>'CONE-All Areas'!$F20</f>
        <v>1361.1032859368347</v>
      </c>
      <c r="F14" s="1811">
        <f>'CONE-All Areas'!$G20</f>
        <v>0.15911801858415633</v>
      </c>
      <c r="G14" s="1812">
        <f>E14*F14*1000/365</f>
        <v>593.35906286754391</v>
      </c>
      <c r="H14" s="1808">
        <f>'CONE-All Areas'!$I20</f>
        <v>69.378246025022023</v>
      </c>
      <c r="I14" s="1826">
        <f>G14+H14</f>
        <v>662.73730889256592</v>
      </c>
      <c r="J14" s="2055">
        <v>240.63666666666666</v>
      </c>
      <c r="K14" s="1809">
        <f>I14-J14</f>
        <v>422.10064222589926</v>
      </c>
      <c r="L14" s="1837">
        <v>0.79</v>
      </c>
      <c r="M14" s="1834">
        <f>K14/L14</f>
        <v>534.30461041253068</v>
      </c>
      <c r="N14" s="1171"/>
      <c r="O14" s="1821"/>
      <c r="P14" s="1823"/>
    </row>
    <row r="15" spans="1:16" s="1195" customFormat="1" ht="15" customHeight="1" x14ac:dyDescent="0.35">
      <c r="D15" s="1776" t="s">
        <v>283</v>
      </c>
      <c r="E15" s="1801">
        <f>'CONE-All Areas'!$F21</f>
        <v>1419.3916087219343</v>
      </c>
      <c r="F15" s="1106">
        <f>'CONE-All Areas'!$G21</f>
        <v>0.16867594984333079</v>
      </c>
      <c r="G15" s="1170">
        <f>E15*F15*1000/365</f>
        <v>655.9376104132208</v>
      </c>
      <c r="H15" s="1801">
        <f>'CONE-All Areas'!$I21</f>
        <v>157.46183331363375</v>
      </c>
      <c r="I15" s="1341">
        <f>G15+H15</f>
        <v>813.39944372685454</v>
      </c>
      <c r="J15" s="2056">
        <v>505.54666666666662</v>
      </c>
      <c r="K15" s="1170">
        <f>I15-J15</f>
        <v>307.85277706018792</v>
      </c>
      <c r="L15" s="1107">
        <v>0.81</v>
      </c>
      <c r="M15" s="1817">
        <f>K15/L15</f>
        <v>380.06515686442953</v>
      </c>
      <c r="N15" s="1171"/>
      <c r="O15" s="1821"/>
      <c r="P15" s="1823"/>
    </row>
    <row r="16" spans="1:16" s="1195" customFormat="1" ht="15" customHeight="1" x14ac:dyDescent="0.35">
      <c r="D16" s="2015" t="s">
        <v>621</v>
      </c>
      <c r="E16" s="1810">
        <f>'CONE-All Areas'!$F22</f>
        <v>1750.4862614676529</v>
      </c>
      <c r="F16" s="2161">
        <f>'CONE-All Areas'!$G22</f>
        <v>9.6241453027474028E-2</v>
      </c>
      <c r="G16" s="1812">
        <f>E16*F16*(1000/365)</f>
        <v>461.5598392007609</v>
      </c>
      <c r="H16" s="1810">
        <f>'CONE-All Areas'!$I22</f>
        <v>190.90319809083852</v>
      </c>
      <c r="I16" s="1826">
        <f>G16+H16</f>
        <v>652.46303729159945</v>
      </c>
      <c r="J16" s="2055">
        <v>243.56500000000003</v>
      </c>
      <c r="K16" s="2053">
        <f>I16-J16</f>
        <v>408.89803729159939</v>
      </c>
      <c r="L16" s="1813">
        <v>0.65</v>
      </c>
      <c r="M16" s="1834">
        <f>K16/L16</f>
        <v>629.0739035255375</v>
      </c>
      <c r="N16" s="1171"/>
      <c r="O16" s="1821"/>
      <c r="P16" s="1823"/>
    </row>
    <row r="17" spans="2:16" ht="6" customHeight="1" x14ac:dyDescent="0.35">
      <c r="C17" s="1195"/>
      <c r="D17" s="1775"/>
      <c r="E17" s="1162"/>
      <c r="F17" s="1109"/>
      <c r="G17" s="1161"/>
      <c r="H17" s="1162"/>
      <c r="I17" s="1341"/>
      <c r="J17" s="2016"/>
      <c r="K17" s="1170"/>
      <c r="L17" s="1111"/>
      <c r="M17" s="1171"/>
      <c r="N17" s="1112"/>
      <c r="O17" s="1821"/>
      <c r="P17" s="1823"/>
    </row>
    <row r="18" spans="2:16" ht="15" customHeight="1" x14ac:dyDescent="0.15">
      <c r="C18" s="1195"/>
      <c r="D18" s="1814" t="s">
        <v>622</v>
      </c>
      <c r="E18" s="1815"/>
      <c r="F18" s="1815"/>
      <c r="G18" s="1815"/>
      <c r="H18" s="1815"/>
      <c r="I18" s="1815"/>
      <c r="J18" s="1815"/>
      <c r="K18" s="1815"/>
      <c r="L18" s="1815"/>
      <c r="M18" s="1815"/>
      <c r="N18" s="1112"/>
      <c r="O18" s="1821"/>
      <c r="P18" s="1823"/>
    </row>
    <row r="19" spans="2:16" s="1195" customFormat="1" ht="15" customHeight="1" x14ac:dyDescent="0.35">
      <c r="D19" s="2015" t="s">
        <v>639</v>
      </c>
      <c r="E19" s="1810">
        <v>1052.6060751260732</v>
      </c>
      <c r="F19" s="1811">
        <v>0.13456454294327755</v>
      </c>
      <c r="G19" s="1812">
        <f t="shared" ref="G19:G24" si="2">E19*F19*1000/365</f>
        <v>388.06426136618438</v>
      </c>
      <c r="H19" s="1808">
        <f>$H$14</f>
        <v>69.378246025022023</v>
      </c>
      <c r="I19" s="1826">
        <f t="shared" ref="I19:I25" si="3">G19+H19</f>
        <v>457.44250739120639</v>
      </c>
      <c r="J19" s="2057">
        <f>J14</f>
        <v>240.63666666666666</v>
      </c>
      <c r="K19" s="2053">
        <f t="shared" ref="K19:K25" si="4">I19-J19</f>
        <v>216.80584072453973</v>
      </c>
      <c r="L19" s="1837">
        <f>$L$14</f>
        <v>0.79</v>
      </c>
      <c r="M19" s="1834">
        <f t="shared" ref="M19:M25" si="5">K19/L19</f>
        <v>274.43777306903763</v>
      </c>
      <c r="N19" s="1171"/>
      <c r="O19" s="1821"/>
      <c r="P19" s="1823"/>
    </row>
    <row r="20" spans="2:16" s="1195" customFormat="1" ht="15" customHeight="1" x14ac:dyDescent="0.35">
      <c r="B20" s="1818"/>
      <c r="D20" s="1776" t="s">
        <v>640</v>
      </c>
      <c r="E20" s="1801">
        <v>1263.0808954647464</v>
      </c>
      <c r="F20" s="1106">
        <v>0.14374919565787173</v>
      </c>
      <c r="G20" s="1170">
        <f t="shared" si="2"/>
        <v>497.44345965447036</v>
      </c>
      <c r="H20" s="1801">
        <f>$H$15</f>
        <v>157.46183331363375</v>
      </c>
      <c r="I20" s="1341">
        <f t="shared" si="3"/>
        <v>654.90529296810405</v>
      </c>
      <c r="J20" s="2056">
        <f>J15</f>
        <v>505.54666666666662</v>
      </c>
      <c r="K20" s="1170">
        <f t="shared" si="4"/>
        <v>149.35862630143743</v>
      </c>
      <c r="L20" s="1107">
        <f>$L$15</f>
        <v>0.81</v>
      </c>
      <c r="M20" s="1817">
        <f t="shared" si="5"/>
        <v>184.39336580424373</v>
      </c>
      <c r="N20" s="1171"/>
      <c r="O20" s="1821"/>
      <c r="P20" s="1823"/>
    </row>
    <row r="21" spans="2:16" s="1195" customFormat="1" ht="15" customHeight="1" x14ac:dyDescent="0.35">
      <c r="D21" s="2015" t="s">
        <v>641</v>
      </c>
      <c r="E21" s="1810">
        <f>E19</f>
        <v>1052.6060751260732</v>
      </c>
      <c r="F21" s="1811">
        <f>F19</f>
        <v>0.13456454294327755</v>
      </c>
      <c r="G21" s="1812">
        <f t="shared" si="2"/>
        <v>388.06426136618438</v>
      </c>
      <c r="H21" s="1808">
        <f>$H$14</f>
        <v>69.378246025022023</v>
      </c>
      <c r="I21" s="1826">
        <f t="shared" ref="I21:I23" si="6">G21+H21</f>
        <v>457.44250739120639</v>
      </c>
      <c r="J21" s="2055">
        <v>206.66732510276228</v>
      </c>
      <c r="K21" s="1809">
        <f t="shared" ref="K21:K23" si="7">I21-J21</f>
        <v>250.77518228844411</v>
      </c>
      <c r="L21" s="1837">
        <f>$L$14</f>
        <v>0.79</v>
      </c>
      <c r="M21" s="1834">
        <f t="shared" ref="M21:M23" si="8">K21/L21</f>
        <v>317.43693960562547</v>
      </c>
      <c r="N21" s="1171"/>
      <c r="O21" s="1821"/>
      <c r="P21" s="1823"/>
    </row>
    <row r="22" spans="2:16" s="1195" customFormat="1" ht="15" customHeight="1" x14ac:dyDescent="0.35">
      <c r="B22" s="1818"/>
      <c r="D22" s="1776" t="s">
        <v>642</v>
      </c>
      <c r="E22" s="1801">
        <f>$E$20</f>
        <v>1263.0808954647464</v>
      </c>
      <c r="F22" s="1106">
        <f>$F$20</f>
        <v>0.14374919565787173</v>
      </c>
      <c r="G22" s="1170">
        <f t="shared" si="2"/>
        <v>497.44345965447036</v>
      </c>
      <c r="H22" s="1801">
        <f>$H$15</f>
        <v>157.46183331363375</v>
      </c>
      <c r="I22" s="1341">
        <f t="shared" si="6"/>
        <v>654.90529296810405</v>
      </c>
      <c r="J22" s="2056">
        <v>374.40195817198332</v>
      </c>
      <c r="K22" s="1170">
        <f t="shared" si="7"/>
        <v>280.50333479612073</v>
      </c>
      <c r="L22" s="1107">
        <f>$L$15</f>
        <v>0.81</v>
      </c>
      <c r="M22" s="1817">
        <f t="shared" si="8"/>
        <v>346.3004133285441</v>
      </c>
      <c r="N22" s="1171"/>
      <c r="O22" s="1821"/>
      <c r="P22" s="1823"/>
    </row>
    <row r="23" spans="2:16" s="1195" customFormat="1" ht="15" customHeight="1" x14ac:dyDescent="0.35">
      <c r="D23" s="2015" t="s">
        <v>643</v>
      </c>
      <c r="E23" s="1810">
        <f>E20</f>
        <v>1263.0808954647464</v>
      </c>
      <c r="F23" s="1811">
        <v>0.16178704118977716</v>
      </c>
      <c r="G23" s="1812">
        <f t="shared" si="2"/>
        <v>559.86334482349469</v>
      </c>
      <c r="H23" s="1808">
        <f>$H$15</f>
        <v>157.46183331363375</v>
      </c>
      <c r="I23" s="1826">
        <f t="shared" si="6"/>
        <v>717.32517813712843</v>
      </c>
      <c r="J23" s="1808">
        <f>J15</f>
        <v>505.54666666666662</v>
      </c>
      <c r="K23" s="1809">
        <f t="shared" si="7"/>
        <v>211.77851147046181</v>
      </c>
      <c r="L23" s="1837">
        <f>$L$15</f>
        <v>0.81</v>
      </c>
      <c r="M23" s="1834">
        <f t="shared" si="8"/>
        <v>261.4549524326689</v>
      </c>
      <c r="N23" s="1171"/>
      <c r="O23" s="1821"/>
      <c r="P23" s="1823"/>
    </row>
    <row r="24" spans="2:16" s="1195" customFormat="1" ht="15" customHeight="1" x14ac:dyDescent="0.35">
      <c r="B24" s="1818"/>
      <c r="D24" s="1816" t="s">
        <v>623</v>
      </c>
      <c r="E24" s="1801">
        <f>E15</f>
        <v>1419.3916087219343</v>
      </c>
      <c r="F24" s="1106">
        <v>0.18984137249382182</v>
      </c>
      <c r="G24" s="1170">
        <f t="shared" si="2"/>
        <v>738.24452357804307</v>
      </c>
      <c r="H24" s="1162">
        <f>$P$24*(1000/365)</f>
        <v>153.50345883666134</v>
      </c>
      <c r="I24" s="1341">
        <f>G24+H24</f>
        <v>891.74798241470444</v>
      </c>
      <c r="J24" s="1801">
        <f>J15</f>
        <v>505.54666666666662</v>
      </c>
      <c r="K24" s="1170">
        <f>I24-J24</f>
        <v>386.20131574803781</v>
      </c>
      <c r="L24" s="1107">
        <f>$L$15</f>
        <v>0.81</v>
      </c>
      <c r="M24" s="1817">
        <f>K24/L24</f>
        <v>476.79174783708368</v>
      </c>
      <c r="N24" s="1171"/>
      <c r="O24" s="2084" t="s">
        <v>637</v>
      </c>
      <c r="P24" s="1201">
        <v>56.028762475381392</v>
      </c>
    </row>
    <row r="25" spans="2:16" s="1195" customFormat="1" ht="15" customHeight="1" x14ac:dyDescent="0.35">
      <c r="D25" s="2015" t="s">
        <v>618</v>
      </c>
      <c r="E25" s="1836">
        <f>E16</f>
        <v>1750.4862614676529</v>
      </c>
      <c r="F25" s="1811">
        <v>0.12954589269431838</v>
      </c>
      <c r="G25" s="1812">
        <f>E25*F25*(1000/365)</f>
        <v>621.28302846840302</v>
      </c>
      <c r="H25" s="1808">
        <f>H16</f>
        <v>190.90319809083852</v>
      </c>
      <c r="I25" s="1826">
        <f t="shared" si="3"/>
        <v>812.1862265592415</v>
      </c>
      <c r="J25" s="1808">
        <f>J16</f>
        <v>243.56500000000003</v>
      </c>
      <c r="K25" s="1809">
        <f t="shared" si="4"/>
        <v>568.62122655924145</v>
      </c>
      <c r="L25" s="1837">
        <f>$L$16</f>
        <v>0.65</v>
      </c>
      <c r="M25" s="1834">
        <f t="shared" si="5"/>
        <v>874.80188701421764</v>
      </c>
      <c r="N25" s="1171"/>
      <c r="O25" s="1821"/>
      <c r="P25" s="1823"/>
    </row>
    <row r="26" spans="2:16" s="1195" customFormat="1" ht="15" customHeight="1" x14ac:dyDescent="0.35">
      <c r="D26" s="1816" t="s">
        <v>542</v>
      </c>
      <c r="E26" s="1801" t="s">
        <v>95</v>
      </c>
      <c r="F26" s="1106" t="s">
        <v>95</v>
      </c>
      <c r="G26" s="1170" t="s">
        <v>95</v>
      </c>
      <c r="H26" s="1801" t="s">
        <v>95</v>
      </c>
      <c r="I26" s="1341" t="s">
        <v>95</v>
      </c>
      <c r="J26" s="1801" t="s">
        <v>95</v>
      </c>
      <c r="K26" s="1170" t="s">
        <v>95</v>
      </c>
      <c r="L26" s="1107" t="s">
        <v>95</v>
      </c>
      <c r="M26" s="1817">
        <v>241</v>
      </c>
      <c r="N26" s="1171"/>
      <c r="O26" s="1821"/>
      <c r="P26" s="1823"/>
    </row>
    <row r="27" spans="2:16" ht="6" customHeight="1" thickBot="1" x14ac:dyDescent="0.4">
      <c r="D27" s="1113"/>
      <c r="E27" s="1113"/>
      <c r="F27" s="1113"/>
      <c r="G27" s="1113"/>
      <c r="H27" s="1113"/>
      <c r="I27" s="1113"/>
      <c r="J27" s="1113"/>
      <c r="K27" s="1113"/>
      <c r="L27" s="1113"/>
      <c r="M27" s="1113"/>
      <c r="N27" s="1114"/>
      <c r="O27" s="1201"/>
      <c r="P27" s="1201"/>
    </row>
    <row r="28" spans="2:16" ht="6" customHeight="1" thickTop="1" x14ac:dyDescent="0.35">
      <c r="D28" s="1114"/>
      <c r="E28" s="1114"/>
      <c r="F28" s="1114"/>
      <c r="G28" s="1114"/>
      <c r="H28" s="1114"/>
      <c r="I28" s="1114"/>
      <c r="J28" s="1114"/>
      <c r="K28" s="1114"/>
      <c r="L28" s="1114"/>
      <c r="M28" s="1114"/>
      <c r="N28" s="1114"/>
      <c r="O28" s="1201"/>
      <c r="P28" s="1201"/>
    </row>
    <row r="29" spans="2:16" ht="15" customHeight="1" x14ac:dyDescent="0.35">
      <c r="D29" s="1115" t="s">
        <v>26</v>
      </c>
      <c r="H29" s="346"/>
      <c r="I29" s="346"/>
      <c r="O29" s="1201"/>
      <c r="P29" s="1201"/>
    </row>
    <row r="30" spans="2:16" ht="15" customHeight="1" x14ac:dyDescent="0.35">
      <c r="D30" s="46" t="s">
        <v>678</v>
      </c>
      <c r="E30" s="1195"/>
      <c r="F30" s="1195"/>
      <c r="G30" s="1195"/>
      <c r="H30" s="346"/>
      <c r="I30" s="346"/>
      <c r="J30" s="1195"/>
      <c r="K30" s="1195"/>
      <c r="L30" s="1195"/>
      <c r="M30" s="1195"/>
      <c r="O30" s="1201"/>
      <c r="P30" s="1201"/>
    </row>
    <row r="31" spans="2:16" ht="15" customHeight="1" x14ac:dyDescent="0.35">
      <c r="D31" s="2188" t="s">
        <v>682</v>
      </c>
      <c r="E31" s="2188"/>
      <c r="F31" s="2188"/>
      <c r="G31" s="2188"/>
      <c r="H31" s="2188"/>
      <c r="I31" s="2188"/>
      <c r="J31" s="2188"/>
      <c r="K31" s="2188"/>
      <c r="L31" s="2188"/>
      <c r="M31" s="2188"/>
      <c r="O31" s="1201"/>
      <c r="P31" s="1201"/>
    </row>
    <row r="32" spans="2:16" ht="15" customHeight="1" x14ac:dyDescent="0.35">
      <c r="D32" s="2188"/>
      <c r="E32" s="2188"/>
      <c r="F32" s="2188"/>
      <c r="G32" s="2188"/>
      <c r="H32" s="2188"/>
      <c r="I32" s="2188"/>
      <c r="J32" s="2188"/>
      <c r="K32" s="2188"/>
      <c r="L32" s="2188"/>
      <c r="M32" s="2188"/>
      <c r="P32" s="1201"/>
    </row>
    <row r="33" spans="4:14" ht="30" customHeight="1" x14ac:dyDescent="0.35">
      <c r="D33" s="2188" t="s">
        <v>602</v>
      </c>
      <c r="E33" s="2188"/>
      <c r="F33" s="2188"/>
      <c r="G33" s="2188"/>
      <c r="H33" s="2188"/>
      <c r="I33" s="2188"/>
      <c r="J33" s="2188"/>
      <c r="K33" s="2188"/>
      <c r="L33" s="2188"/>
      <c r="M33" s="2188"/>
    </row>
    <row r="34" spans="4:14" ht="15" customHeight="1" x14ac:dyDescent="0.35">
      <c r="D34" s="2137" t="str">
        <f>E8&amp;", "&amp;F8&amp;", "&amp;H8&amp;": Output from CONE model."</f>
        <v>[A], [B], [D]: Output from CONE model.</v>
      </c>
      <c r="E34" s="1195"/>
      <c r="F34" s="1195"/>
      <c r="G34" s="1195"/>
      <c r="H34" s="1195"/>
      <c r="I34" s="1195"/>
      <c r="J34" s="1195"/>
      <c r="K34" s="1195"/>
      <c r="L34" s="1195"/>
      <c r="M34" s="1195"/>
    </row>
    <row r="35" spans="4:14" ht="15" customHeight="1" x14ac:dyDescent="0.35">
      <c r="D35" s="2137" t="str">
        <f>G8&amp;": "&amp;E8&amp;" x "&amp;F8&amp;" x "&amp;"1000/365."</f>
        <v>[C]: [A] x [B] x 1000/365.</v>
      </c>
      <c r="E35" s="1195"/>
      <c r="F35" s="1195"/>
      <c r="G35" s="1195"/>
      <c r="H35" s="1195"/>
      <c r="I35" s="1195"/>
      <c r="J35" s="1195"/>
      <c r="K35" s="1195"/>
      <c r="L35" s="1195"/>
      <c r="M35" s="1195"/>
    </row>
    <row r="36" spans="4:14" ht="15" customHeight="1" x14ac:dyDescent="0.35">
      <c r="D36" s="2137" t="str">
        <f>J8&amp;", "&amp;L8&amp;": Forward E&amp;AS provided by PJM staff for DEOK LDA."</f>
        <v>[F], [H]: Forward E&amp;AS provided by PJM staff for DEOK LDA.</v>
      </c>
      <c r="E36" s="2138"/>
      <c r="F36" s="2138"/>
      <c r="G36" s="2138"/>
      <c r="H36" s="2138"/>
      <c r="I36" s="2138"/>
      <c r="J36" s="2138"/>
      <c r="K36" s="2138"/>
      <c r="L36" s="2138"/>
      <c r="M36" s="2138"/>
    </row>
    <row r="37" spans="4:14" ht="15" customHeight="1" x14ac:dyDescent="0.35">
      <c r="D37" s="2140" t="str">
        <f>"10-year Average E&amp;AS Offsets are also for DEOK, calculated as the average net revenues a resource would earn from delivery years 2017/18 to 2026/27."</f>
        <v>10-year Average E&amp;AS Offsets are also for DEOK, calculated as the average net revenues a resource would earn from delivery years 2017/18 to 2026/27.</v>
      </c>
      <c r="E37" s="2139"/>
      <c r="F37" s="2139"/>
      <c r="G37" s="2139"/>
      <c r="H37" s="2139"/>
      <c r="I37" s="2139"/>
      <c r="J37" s="2139"/>
      <c r="K37" s="2139"/>
      <c r="L37" s="2139"/>
      <c r="M37" s="2139"/>
    </row>
    <row r="38" spans="4:14" ht="15" customHeight="1" x14ac:dyDescent="0.35">
      <c r="D38" s="2140" t="str">
        <f>"Net revenues from delivery years 2017/18 to 2023/24 from Monitoring Analytics, 2023 State of the Market Report for PJM."</f>
        <v>Net revenues from delivery years 2017/18 to 2023/24 from Monitoring Analytics, 2023 State of the Market Report for PJM.</v>
      </c>
      <c r="E38" s="2139"/>
      <c r="F38" s="2139"/>
      <c r="G38" s="2139"/>
      <c r="H38" s="2139"/>
      <c r="I38" s="2139"/>
      <c r="J38" s="2139"/>
      <c r="K38" s="2139"/>
      <c r="L38" s="2139"/>
      <c r="M38" s="2139"/>
    </row>
    <row r="39" spans="4:14" ht="15" customHeight="1" x14ac:dyDescent="0.35">
      <c r="D39" s="2140" t="str">
        <f>"Expected net revenues for delivery years 2023/24 - 2026/27 from PJM historical MOPR parameters. All escalated to "&amp;D10&amp;"."</f>
        <v>Expected net revenues for delivery years 2023/24 - 2026/27 from PJM historical MOPR parameters. All escalated to Nominal$ for 2028 Online Year.</v>
      </c>
      <c r="E39" s="2139"/>
      <c r="F39" s="2139"/>
      <c r="G39" s="2139"/>
      <c r="H39" s="2139"/>
      <c r="I39" s="2139"/>
      <c r="J39" s="2139"/>
      <c r="K39" s="2139"/>
      <c r="L39" s="2139"/>
      <c r="M39" s="2139"/>
    </row>
    <row r="41" spans="4:14" ht="15" customHeight="1" x14ac:dyDescent="0.35">
      <c r="L41" s="1028"/>
    </row>
    <row r="42" spans="4:14" ht="15" customHeight="1" x14ac:dyDescent="0.35">
      <c r="L42" s="1053"/>
    </row>
    <row r="43" spans="4:14" ht="15" customHeight="1" x14ac:dyDescent="0.35">
      <c r="D43" s="955"/>
      <c r="E43" s="1108"/>
      <c r="F43" s="1109"/>
      <c r="G43" s="1110"/>
      <c r="H43" s="1108"/>
      <c r="I43" s="1108"/>
      <c r="J43" s="1110"/>
      <c r="K43" s="1110"/>
      <c r="L43" s="1111"/>
      <c r="M43" s="1110"/>
      <c r="N43" s="1110"/>
    </row>
  </sheetData>
  <mergeCells count="2">
    <mergeCell ref="D31:M32"/>
    <mergeCell ref="D33:M33"/>
  </mergeCells>
  <printOptions horizontalCentered="1"/>
  <pageMargins left="0.7" right="0.7" top="0.75" bottom="0.75" header="0.3" footer="0.3"/>
  <pageSetup orientation="landscape" horizontalDpi="1200" verticalDpi="1200" r:id="rId1"/>
  <headerFooter scaleWithDoc="0"/>
  <ignoredErrors>
    <ignoredError sqref="H20:I20 H21:I21 K20:L20 I25 K21:L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223E-F04F-4ECD-9370-3F86F3A3463A}">
  <sheetPr>
    <pageSetUpPr autoPageBreaks="0"/>
  </sheetPr>
  <dimension ref="A1:O45"/>
  <sheetViews>
    <sheetView showGridLines="0" zoomScale="70" zoomScaleNormal="70" workbookViewId="0"/>
  </sheetViews>
  <sheetFormatPr defaultColWidth="8.7265625" defaultRowHeight="15" customHeight="1" outlineLevelCol="1" x14ac:dyDescent="0.35"/>
  <cols>
    <col min="1" max="3" width="10.54296875" style="952" customWidth="1"/>
    <col min="4" max="4" width="12.54296875" style="952" bestFit="1" customWidth="1"/>
    <col min="5" max="5" width="13.26953125" style="952" customWidth="1"/>
    <col min="6" max="6" width="12.1796875" style="952" customWidth="1"/>
    <col min="7" max="7" width="11.81640625" style="952" bestFit="1" customWidth="1"/>
    <col min="8" max="8" width="13.1796875" style="952" bestFit="1" customWidth="1"/>
    <col min="9" max="9" width="11.1796875" style="952" bestFit="1" customWidth="1"/>
    <col min="10" max="10" width="11.54296875" style="952" bestFit="1" customWidth="1"/>
    <col min="11" max="12" width="15.1796875" style="952" customWidth="1"/>
    <col min="13" max="13" width="18.453125" style="1200" hidden="1" customWidth="1" outlineLevel="1"/>
    <col min="14" max="14" width="14.81640625" style="1200" hidden="1" customWidth="1" outlineLevel="1"/>
    <col min="15" max="15" width="8.7265625" style="952" collapsed="1"/>
    <col min="16" max="16384" width="8.7265625" style="952"/>
  </cols>
  <sheetData>
    <row r="1" spans="1:14" ht="15" customHeight="1" x14ac:dyDescent="0.35">
      <c r="A1" s="81" t="s">
        <v>275</v>
      </c>
      <c r="F1" s="1096">
        <v>65</v>
      </c>
      <c r="G1" s="1096">
        <f>F1+1</f>
        <v>66</v>
      </c>
      <c r="H1" s="1096">
        <f t="shared" ref="H1:J1" si="0">G1+1</f>
        <v>67</v>
      </c>
      <c r="I1" s="1096">
        <f t="shared" si="0"/>
        <v>68</v>
      </c>
      <c r="J1" s="1096">
        <f t="shared" si="0"/>
        <v>69</v>
      </c>
      <c r="K1" s="1096"/>
      <c r="L1" s="1096"/>
      <c r="M1" s="1199"/>
      <c r="N1" s="1334"/>
    </row>
    <row r="2" spans="1:14" ht="15" customHeight="1" x14ac:dyDescent="0.35">
      <c r="E2" s="1159"/>
      <c r="F2" s="953"/>
      <c r="G2" s="956"/>
      <c r="M2" s="1199"/>
      <c r="N2" s="1334"/>
    </row>
    <row r="3" spans="1:14" ht="15" customHeight="1" x14ac:dyDescent="0.35">
      <c r="B3" s="953"/>
      <c r="D3" s="9" t="str">
        <f>LEFT(D4,FIND(":",D4)-1)</f>
        <v>Table T2</v>
      </c>
      <c r="I3" s="346"/>
      <c r="M3" s="1201"/>
      <c r="N3" s="1201"/>
    </row>
    <row r="4" spans="1:14" ht="15" customHeight="1" x14ac:dyDescent="0.35">
      <c r="B4" s="956"/>
      <c r="D4" s="1652" t="str">
        <f>ToC!$J$9</f>
        <v>Table T2: CONE by Technology and CONE Area</v>
      </c>
      <c r="J4" s="1843"/>
      <c r="M4" s="1201"/>
      <c r="N4" s="1201"/>
    </row>
    <row r="5" spans="1:14" ht="6" customHeight="1" thickBot="1" x14ac:dyDescent="0.2">
      <c r="D5" s="2068"/>
      <c r="E5" s="1097"/>
      <c r="F5" s="1098"/>
      <c r="G5" s="1098"/>
      <c r="H5" s="1098"/>
      <c r="I5" s="1098"/>
      <c r="J5" s="1098"/>
      <c r="K5" s="1100"/>
      <c r="L5" s="1100"/>
    </row>
    <row r="6" spans="1:14" ht="6" customHeight="1" thickTop="1" x14ac:dyDescent="0.15">
      <c r="E6" s="1099"/>
      <c r="F6" s="1100"/>
      <c r="G6" s="1100"/>
      <c r="H6" s="1100"/>
      <c r="I6" s="1100"/>
      <c r="J6" s="1100"/>
      <c r="K6" s="1100"/>
      <c r="L6" s="1100"/>
    </row>
    <row r="7" spans="1:14" ht="30" customHeight="1" x14ac:dyDescent="0.35">
      <c r="D7" s="2070" t="s">
        <v>287</v>
      </c>
      <c r="E7" s="2081" t="s">
        <v>1</v>
      </c>
      <c r="F7" s="1806" t="s">
        <v>595</v>
      </c>
      <c r="G7" s="1806" t="s">
        <v>596</v>
      </c>
      <c r="H7" s="1806" t="s">
        <v>482</v>
      </c>
      <c r="I7" s="1806" t="s">
        <v>597</v>
      </c>
      <c r="J7" s="1806" t="s">
        <v>598</v>
      </c>
      <c r="K7" s="1101"/>
      <c r="L7" s="1101"/>
      <c r="M7" s="1201"/>
      <c r="N7" s="1201"/>
    </row>
    <row r="8" spans="1:14" ht="15" customHeight="1" x14ac:dyDescent="0.35">
      <c r="E8"/>
      <c r="F8" s="8" t="str">
        <f t="shared" ref="F8:J8" si="1">"["&amp;CHAR(F1)&amp;"]"</f>
        <v>[A]</v>
      </c>
      <c r="G8" s="8" t="str">
        <f t="shared" si="1"/>
        <v>[B]</v>
      </c>
      <c r="H8" s="8" t="str">
        <f t="shared" si="1"/>
        <v>[C]</v>
      </c>
      <c r="I8" s="8" t="str">
        <f t="shared" si="1"/>
        <v>[D]</v>
      </c>
      <c r="J8" s="8" t="str">
        <f t="shared" si="1"/>
        <v>[E]</v>
      </c>
      <c r="K8" s="8"/>
      <c r="L8" s="8"/>
      <c r="M8" s="2086" t="s">
        <v>174</v>
      </c>
      <c r="N8" s="2086" t="s">
        <v>175</v>
      </c>
    </row>
    <row r="9" spans="1:14" ht="15" customHeight="1" x14ac:dyDescent="0.35">
      <c r="D9" t="str">
        <f>"Nominal$ for "&amp;YEAR(Control!$H$19)&amp;" Online Year"</f>
        <v>Nominal$ for 2028 Online Year</v>
      </c>
      <c r="F9" s="1805" t="s">
        <v>5</v>
      </c>
      <c r="G9" s="1805" t="s">
        <v>507</v>
      </c>
      <c r="H9" s="1805" t="s">
        <v>485</v>
      </c>
      <c r="I9" s="1805" t="s">
        <v>485</v>
      </c>
      <c r="J9" s="1805" t="s">
        <v>485</v>
      </c>
      <c r="K9" s="1102"/>
      <c r="L9" s="1102"/>
      <c r="M9" s="1202" t="s">
        <v>1</v>
      </c>
      <c r="N9" s="1201" t="s">
        <v>287</v>
      </c>
    </row>
    <row r="10" spans="1:14" ht="6" customHeight="1" x14ac:dyDescent="0.15">
      <c r="D10" s="2069"/>
      <c r="E10" s="310"/>
      <c r="F10" s="1103"/>
      <c r="G10" s="1103"/>
      <c r="H10" s="1103"/>
      <c r="I10" s="1103"/>
      <c r="J10" s="1103"/>
      <c r="K10" s="1105"/>
      <c r="L10" s="1105"/>
    </row>
    <row r="11" spans="1:14" ht="6" customHeight="1" x14ac:dyDescent="0.15">
      <c r="E11" s="311"/>
      <c r="F11" s="1104"/>
      <c r="G11" s="1104"/>
      <c r="H11" s="1104"/>
      <c r="I11" s="1104"/>
      <c r="J11" s="1104"/>
      <c r="K11" s="1105"/>
      <c r="L11" s="1105"/>
    </row>
    <row r="12" spans="1:14" s="1195" customFormat="1" ht="15" customHeight="1" x14ac:dyDescent="0.35">
      <c r="B12" s="1924"/>
      <c r="C12" s="1818"/>
      <c r="D12" s="2189" t="s">
        <v>651</v>
      </c>
      <c r="E12" s="2071" t="s">
        <v>619</v>
      </c>
      <c r="F12" s="1810">
        <f>INDEX(Control!$P$98:$R$102,MATCH($N12,Control!$O$98:$O$102,0),MATCH($M12,Control!$P$97:$R$97,0))</f>
        <v>1395.0971400840383</v>
      </c>
      <c r="G12" s="2028">
        <f>INDEX(Control!$P$107:$R$111,MATCH($N12,Control!$O$107:$O$111,0),MATCH($M12,Control!$P$106:$R$106,0))</f>
        <v>0.15978981896806638</v>
      </c>
      <c r="H12" s="1812">
        <f>F12*G12*1000/365</f>
        <v>610.74608070382362</v>
      </c>
      <c r="I12" s="1810">
        <f>INDEX(Control!$P$115:$R$119,MATCH($N12,Control!$O$115:$O$119,0),MATCH($M12,Control!$P$114:$R$114,0))</f>
        <v>58.781929172011701</v>
      </c>
      <c r="J12" s="2072">
        <f>H12+I12</f>
        <v>669.52800987583532</v>
      </c>
      <c r="K12" s="1171"/>
      <c r="L12" s="1171"/>
      <c r="M12" s="1821" t="s">
        <v>281</v>
      </c>
      <c r="N12" s="2113" t="s">
        <v>288</v>
      </c>
    </row>
    <row r="13" spans="1:14" s="1195" customFormat="1" ht="15" customHeight="1" x14ac:dyDescent="0.35">
      <c r="B13" s="1924"/>
      <c r="C13" s="1818"/>
      <c r="D13" s="2189"/>
      <c r="E13" s="2073" t="s">
        <v>620</v>
      </c>
      <c r="F13" s="1808">
        <f>INDEX(Control!$P$98:$R$102,MATCH($N13,Control!$O$98:$O$102,0),MATCH($M13,Control!$P$97:$R$97,0))</f>
        <v>1517.3931287354103</v>
      </c>
      <c r="G13" s="2074">
        <f>INDEX(Control!$P$107:$R$111,MATCH($N13,Control!$O$107:$O$111,0),MATCH($M13,Control!$P$106:$R$106,0))</f>
        <v>0.16952316351806235</v>
      </c>
      <c r="H13" s="1809">
        <f>F13*G13*1000/365</f>
        <v>704.74872187341703</v>
      </c>
      <c r="I13" s="1808">
        <f>INDEX(Control!$P$115:$R$119,MATCH($N13,Control!$O$115:$O$119,0),MATCH($M13,Control!$P$114:$R$114,0))</f>
        <v>111.611614348019</v>
      </c>
      <c r="J13" s="2072">
        <f>H13+I13</f>
        <v>816.360336221436</v>
      </c>
      <c r="K13" s="1171"/>
      <c r="L13" s="1171"/>
      <c r="M13" s="1821" t="s">
        <v>283</v>
      </c>
      <c r="N13" s="2114" t="s">
        <v>288</v>
      </c>
    </row>
    <row r="14" spans="1:14" s="1195" customFormat="1" ht="15" customHeight="1" x14ac:dyDescent="0.35">
      <c r="B14" s="1924"/>
      <c r="C14" s="1818"/>
      <c r="D14" s="2189"/>
      <c r="E14" s="1819" t="s">
        <v>621</v>
      </c>
      <c r="F14" s="1810">
        <f>INDEX(Control!$P$98:$R$102,MATCH($N14,Control!$O$98:$O$102,0),MATCH($M14,Control!$P$97:$R$97,0))</f>
        <v>1832.476280023981</v>
      </c>
      <c r="G14" s="2028">
        <f>INDEX(Control!$P$107:$R$111,MATCH($N14,Control!$O$107:$O$111,0),MATCH($M14,Control!$P$106:$R$106,0))</f>
        <v>9.6298786037737852E-2</v>
      </c>
      <c r="H14" s="1812">
        <f>F14*G14*(1000/365)</f>
        <v>483.46641427194282</v>
      </c>
      <c r="I14" s="1810">
        <f>INDEX(Control!$P$115:$R$119,MATCH($N14,Control!$O$115:$O$119,0),MATCH($M14,Control!$P$114:$R$114,0))</f>
        <v>196.84459391338794</v>
      </c>
      <c r="J14" s="2072">
        <f>H14+I14</f>
        <v>680.31100818533082</v>
      </c>
      <c r="K14" s="1171"/>
      <c r="L14" s="1171"/>
      <c r="M14" s="1821" t="s">
        <v>282</v>
      </c>
      <c r="N14" s="2114" t="s">
        <v>288</v>
      </c>
    </row>
    <row r="15" spans="1:14" ht="6" customHeight="1" x14ac:dyDescent="0.35">
      <c r="B15" s="1925"/>
      <c r="C15" s="1818"/>
      <c r="D15" s="2075"/>
      <c r="E15" s="1775"/>
      <c r="F15" s="1162"/>
      <c r="G15" s="1109"/>
      <c r="H15" s="1161"/>
      <c r="I15" s="1162"/>
      <c r="J15" s="1341"/>
      <c r="K15" s="1112"/>
      <c r="L15" s="1112"/>
      <c r="M15" s="1821"/>
      <c r="N15" s="2114"/>
    </row>
    <row r="16" spans="1:14" s="1195" customFormat="1" ht="15" customHeight="1" x14ac:dyDescent="0.35">
      <c r="C16" s="1818"/>
      <c r="D16" s="2190" t="s">
        <v>652</v>
      </c>
      <c r="E16" s="1776" t="s">
        <v>619</v>
      </c>
      <c r="F16" s="1162">
        <f>INDEX(Control!$P$98:$R$102,MATCH($N16,Control!$O$98:$O$102,0),MATCH($M16,Control!$P$97:$R$97,0))</f>
        <v>1339.4778320065438</v>
      </c>
      <c r="G16" s="344">
        <f>INDEX(Control!$P$107:$R$111,MATCH($N16,Control!$O$107:$O$111,0),MATCH($M16,Control!$P$106:$R$106,0))</f>
        <v>0.15930936252536554</v>
      </c>
      <c r="H16" s="1161">
        <f>F16*G16*1000/365</f>
        <v>584.63386173649633</v>
      </c>
      <c r="I16" s="1162">
        <f>INDEX(Control!$P$115:$R$119,MATCH($N16,Control!$O$115:$O$119,0),MATCH($M16,Control!$P$114:$R$114,0))</f>
        <v>90.937958266308144</v>
      </c>
      <c r="J16" s="1341">
        <f>H16+I16</f>
        <v>675.57182000280443</v>
      </c>
      <c r="K16" s="1171"/>
      <c r="L16" s="1171"/>
      <c r="M16" s="1821" t="s">
        <v>281</v>
      </c>
      <c r="N16" s="2114" t="s">
        <v>289</v>
      </c>
    </row>
    <row r="17" spans="3:14" s="1195" customFormat="1" ht="15" customHeight="1" x14ac:dyDescent="0.35">
      <c r="C17" s="1818"/>
      <c r="D17" s="2190"/>
      <c r="E17" s="1816" t="s">
        <v>620</v>
      </c>
      <c r="F17" s="1801">
        <f>INDEX(Control!$P$98:$R$102,MATCH($N17,Control!$O$98:$O$102,0),MATCH($M17,Control!$P$97:$R$97,0))</f>
        <v>1411.3674639531787</v>
      </c>
      <c r="G17" s="1106">
        <f>INDEX(Control!$P$107:$R$111,MATCH($N17,Control!$O$107:$O$111,0),MATCH($M17,Control!$P$106:$R$106,0))</f>
        <v>0.16892274077349831</v>
      </c>
      <c r="H17" s="1170">
        <f>F17*G17*1000/365</f>
        <v>653.18372671099326</v>
      </c>
      <c r="I17" s="1801">
        <f>INDEX(Control!$P$115:$R$119,MATCH($N17,Control!$O$115:$O$119,0),MATCH($M17,Control!$P$114:$R$114,0))</f>
        <v>165.83019137909008</v>
      </c>
      <c r="J17" s="1341">
        <f>H17+I17</f>
        <v>819.01391809008328</v>
      </c>
      <c r="K17" s="1171"/>
      <c r="L17" s="1171"/>
      <c r="M17" s="1821" t="s">
        <v>283</v>
      </c>
      <c r="N17" s="2114" t="s">
        <v>289</v>
      </c>
    </row>
    <row r="18" spans="3:14" s="1195" customFormat="1" ht="15" customHeight="1" x14ac:dyDescent="0.35">
      <c r="C18" s="1818"/>
      <c r="D18" s="2190"/>
      <c r="E18" s="1775" t="s">
        <v>621</v>
      </c>
      <c r="F18" s="1162">
        <f>INDEX(Control!$P$98:$R$102,MATCH($N18,Control!$O$98:$O$102,0),MATCH($M18,Control!$P$97:$R$97,0))</f>
        <v>1753.4581944324673</v>
      </c>
      <c r="G18" s="344">
        <f>INDEX(Control!$P$107:$R$111,MATCH($N18,Control!$O$107:$O$111,0),MATCH($M18,Control!$P$106:$R$106,0))</f>
        <v>9.6387306323573257E-2</v>
      </c>
      <c r="H18" s="1161">
        <f>F18*G18*(1000/365)</f>
        <v>463.04414277353942</v>
      </c>
      <c r="I18" s="1162">
        <f>INDEX(Control!$P$115:$R$119,MATCH($N18,Control!$O$115:$O$119,0),MATCH($M18,Control!$P$114:$R$114,0))</f>
        <v>208.02503049798432</v>
      </c>
      <c r="J18" s="1341">
        <f>H18+I18</f>
        <v>671.06917327152371</v>
      </c>
      <c r="K18" s="1171"/>
      <c r="L18" s="1171"/>
      <c r="M18" s="1821" t="s">
        <v>282</v>
      </c>
      <c r="N18" s="2114" t="s">
        <v>289</v>
      </c>
    </row>
    <row r="19" spans="3:14" s="1195" customFormat="1" ht="6" customHeight="1" x14ac:dyDescent="0.35">
      <c r="C19" s="1818"/>
      <c r="D19" s="2075"/>
      <c r="E19" s="1816"/>
      <c r="F19" s="1162"/>
      <c r="G19" s="1109"/>
      <c r="H19" s="1161"/>
      <c r="I19" s="1162"/>
      <c r="J19" s="1341"/>
      <c r="K19" s="1171"/>
      <c r="L19" s="1171"/>
      <c r="M19" s="1821"/>
      <c r="N19" s="2114"/>
    </row>
    <row r="20" spans="3:14" s="1195" customFormat="1" ht="15" customHeight="1" x14ac:dyDescent="0.35">
      <c r="C20" s="1818"/>
      <c r="D20" s="2189" t="s">
        <v>653</v>
      </c>
      <c r="E20" s="2071" t="s">
        <v>619</v>
      </c>
      <c r="F20" s="1810">
        <f>INDEX(Control!$P$98:$R$102,MATCH($N20,Control!$O$98:$O$102,0),MATCH($M20,Control!$P$97:$R$97,0))</f>
        <v>1361.1032859368347</v>
      </c>
      <c r="G20" s="2028">
        <f>INDEX(Control!$P$107:$R$111,MATCH($N20,Control!$O$107:$O$111,0),MATCH($M20,Control!$P$106:$R$106,0))</f>
        <v>0.15911801858415633</v>
      </c>
      <c r="H20" s="1812">
        <f>F20*G20*1000/365</f>
        <v>593.35906286754391</v>
      </c>
      <c r="I20" s="1810">
        <f>INDEX(Control!$P$115:$R$119,MATCH($N20,Control!$O$115:$O$119,0),MATCH($M20,Control!$P$114:$R$114,0))</f>
        <v>69.378246025022023</v>
      </c>
      <c r="J20" s="2072">
        <f>H20+I20</f>
        <v>662.73730889256592</v>
      </c>
      <c r="K20" s="1171"/>
      <c r="L20" s="1171"/>
      <c r="M20" s="1821" t="s">
        <v>281</v>
      </c>
      <c r="N20" s="2114" t="s">
        <v>290</v>
      </c>
    </row>
    <row r="21" spans="3:14" s="1195" customFormat="1" ht="15" customHeight="1" x14ac:dyDescent="0.35">
      <c r="C21" s="1818"/>
      <c r="D21" s="2189"/>
      <c r="E21" s="2073" t="s">
        <v>620</v>
      </c>
      <c r="F21" s="1808">
        <f>INDEX(Control!$P$98:$R$102,MATCH($N21,Control!$O$98:$O$102,0),MATCH($M21,Control!$P$97:$R$97,0))</f>
        <v>1419.3916087219343</v>
      </c>
      <c r="G21" s="2074">
        <f>INDEX(Control!$P$107:$R$111,MATCH($N21,Control!$O$107:$O$111,0),MATCH($M21,Control!$P$106:$R$106,0))</f>
        <v>0.16867594984333079</v>
      </c>
      <c r="H21" s="1809">
        <f>F21*G21*1000/365</f>
        <v>655.9376104132208</v>
      </c>
      <c r="I21" s="1808">
        <f>INDEX(Control!$P$115:$R$119,MATCH($N21,Control!$O$115:$O$119,0),MATCH($M21,Control!$P$114:$R$114,0))</f>
        <v>157.46183331363375</v>
      </c>
      <c r="J21" s="2072">
        <f>H21+I21</f>
        <v>813.39944372685454</v>
      </c>
      <c r="K21" s="1171"/>
      <c r="L21" s="1171"/>
      <c r="M21" s="1821" t="s">
        <v>283</v>
      </c>
      <c r="N21" s="2114" t="s">
        <v>290</v>
      </c>
    </row>
    <row r="22" spans="3:14" s="1195" customFormat="1" ht="15" customHeight="1" x14ac:dyDescent="0.35">
      <c r="C22" s="1818"/>
      <c r="D22" s="2189"/>
      <c r="E22" s="1819" t="s">
        <v>621</v>
      </c>
      <c r="F22" s="1810">
        <f>INDEX(Control!$P$98:$R$102,MATCH($N22,Control!$O$98:$O$102,0),MATCH($M22,Control!$P$97:$R$97,0))</f>
        <v>1750.4862614676529</v>
      </c>
      <c r="G22" s="2160">
        <f>INDEX(Control!$P$107:$R$111,MATCH($N22,Control!$O$107:$O$111,0),MATCH($M22,Control!$P$106:$R$106,0))</f>
        <v>9.6241453027474028E-2</v>
      </c>
      <c r="H22" s="1812">
        <f>F22*G22*(1000/365)</f>
        <v>461.5598392007609</v>
      </c>
      <c r="I22" s="1810">
        <f>INDEX(Control!$P$115:$R$119,MATCH($N22,Control!$O$115:$O$119,0),MATCH($M22,Control!$P$114:$R$114,0))</f>
        <v>190.90319809083852</v>
      </c>
      <c r="J22" s="2072">
        <f>H22+I22</f>
        <v>652.46303729159945</v>
      </c>
      <c r="K22" s="1171"/>
      <c r="L22" s="1171"/>
      <c r="M22" s="1821" t="s">
        <v>282</v>
      </c>
      <c r="N22" s="2114" t="s">
        <v>290</v>
      </c>
    </row>
    <row r="23" spans="3:14" s="1195" customFormat="1" ht="6" customHeight="1" x14ac:dyDescent="0.35">
      <c r="C23" s="1818"/>
      <c r="D23" s="2075"/>
      <c r="E23" s="1816"/>
      <c r="F23" s="1162"/>
      <c r="G23" s="1109"/>
      <c r="H23" s="1161"/>
      <c r="I23" s="1162"/>
      <c r="J23" s="1341"/>
      <c r="K23" s="1171"/>
      <c r="L23" s="1171"/>
      <c r="M23" s="1821"/>
      <c r="N23" s="2114"/>
    </row>
    <row r="24" spans="3:14" s="1195" customFormat="1" ht="15" customHeight="1" x14ac:dyDescent="0.35">
      <c r="C24" s="1818"/>
      <c r="D24" s="2190" t="s">
        <v>654</v>
      </c>
      <c r="E24" s="1776" t="s">
        <v>619</v>
      </c>
      <c r="F24" s="1162">
        <f>INDEX(Control!$P$98:$R$102,MATCH($N24,Control!$O$98:$O$102,0),MATCH($M24,Control!$P$97:$R$97,0))</f>
        <v>1390.1889243407893</v>
      </c>
      <c r="G24" s="344">
        <f>INDEX(Control!$P$107:$R$111,MATCH($N24,Control!$O$107:$O$111,0),MATCH($M24,Control!$P$106:$R$106,0))</f>
        <v>0.15914091612912692</v>
      </c>
      <c r="H24" s="1161">
        <f>F24*G24*1000/365</f>
        <v>606.12586030728414</v>
      </c>
      <c r="I24" s="1162">
        <f>INDEX(Control!$P$115:$R$119,MATCH($N24,Control!$O$115:$O$119,0),MATCH($M24,Control!$P$114:$R$114,0))</f>
        <v>58.10372738910192</v>
      </c>
      <c r="J24" s="1341">
        <f>H24+I24</f>
        <v>664.22958769638603</v>
      </c>
      <c r="K24" s="1171"/>
      <c r="L24" s="1171"/>
      <c r="M24" s="1821" t="s">
        <v>281</v>
      </c>
      <c r="N24" s="2114" t="s">
        <v>291</v>
      </c>
    </row>
    <row r="25" spans="3:14" s="1195" customFormat="1" ht="15" customHeight="1" x14ac:dyDescent="0.35">
      <c r="C25" s="1818"/>
      <c r="D25" s="2190"/>
      <c r="E25" s="1816" t="s">
        <v>620</v>
      </c>
      <c r="F25" s="1801">
        <f>INDEX(Control!$P$98:$R$102,MATCH($N25,Control!$O$98:$O$102,0),MATCH($M25,Control!$P$97:$R$97,0))</f>
        <v>1475.5894620546385</v>
      </c>
      <c r="G25" s="1106">
        <f>INDEX(Control!$P$107:$R$111,MATCH($N25,Control!$O$107:$O$111,0),MATCH($M25,Control!$P$106:$R$106,0))</f>
        <v>0.16870911311735565</v>
      </c>
      <c r="H25" s="1170">
        <f>F25*G25*1000/365</f>
        <v>682.04216292754518</v>
      </c>
      <c r="I25" s="1801">
        <f>INDEX(Control!$P$115:$R$119,MATCH($N25,Control!$O$115:$O$119,0),MATCH($M25,Control!$P$114:$R$114,0))</f>
        <v>131.69083722631422</v>
      </c>
      <c r="J25" s="1341">
        <f>H25+I25</f>
        <v>813.73300015385939</v>
      </c>
      <c r="K25" s="1171"/>
      <c r="L25" s="1171"/>
      <c r="M25" s="1821" t="s">
        <v>283</v>
      </c>
      <c r="N25" s="2114" t="s">
        <v>291</v>
      </c>
    </row>
    <row r="26" spans="3:14" s="1195" customFormat="1" ht="15" customHeight="1" x14ac:dyDescent="0.35">
      <c r="C26" s="1818"/>
      <c r="D26" s="2190"/>
      <c r="E26" s="1775" t="s">
        <v>621</v>
      </c>
      <c r="F26" s="1162">
        <f>INDEX(Control!$P$98:$R$102,MATCH($N26,Control!$O$98:$O$102,0),MATCH($M26,Control!$P$97:$R$97,0))</f>
        <v>1784.3811892634747</v>
      </c>
      <c r="G26" s="344">
        <f>INDEX(Control!$P$107:$R$111,MATCH($N26,Control!$O$107:$O$111,0),MATCH($M26,Control!$P$106:$R$106,0))</f>
        <v>9.6314320859413757E-2</v>
      </c>
      <c r="H26" s="1161">
        <f>F26*G26*(1000/365)</f>
        <v>470.85332163897147</v>
      </c>
      <c r="I26" s="1162">
        <f>INDEX(Control!$P$115:$R$119,MATCH($N26,Control!$O$115:$O$119,0),MATCH($M26,Control!$P$114:$R$114,0))</f>
        <v>196.4426284131184</v>
      </c>
      <c r="J26" s="1341">
        <f>H26+I26</f>
        <v>667.29595005208989</v>
      </c>
      <c r="K26" s="1171"/>
      <c r="L26" s="1171"/>
      <c r="M26" s="1821" t="s">
        <v>282</v>
      </c>
      <c r="N26" s="2114" t="s">
        <v>291</v>
      </c>
    </row>
    <row r="27" spans="3:14" s="1195" customFormat="1" ht="6" customHeight="1" x14ac:dyDescent="0.35">
      <c r="C27" s="1818"/>
      <c r="D27" s="2075"/>
      <c r="E27" s="1816"/>
      <c r="F27" s="1162"/>
      <c r="G27" s="1109"/>
      <c r="H27" s="1161"/>
      <c r="I27" s="1162"/>
      <c r="J27" s="1341"/>
      <c r="K27" s="1171"/>
      <c r="L27" s="1171"/>
      <c r="M27" s="1821"/>
      <c r="N27" s="2114"/>
    </row>
    <row r="28" spans="3:14" s="1195" customFormat="1" ht="15" customHeight="1" x14ac:dyDescent="0.35">
      <c r="C28" s="1818"/>
      <c r="D28" s="2189" t="s">
        <v>655</v>
      </c>
      <c r="E28" s="2071" t="s">
        <v>619</v>
      </c>
      <c r="F28" s="1810">
        <f>INDEX(Control!$P$98:$R$102,MATCH($N28,Control!$O$98:$O$102,0),MATCH($M28,Control!$P$97:$R$97,0))</f>
        <v>1495.2126260523089</v>
      </c>
      <c r="G28" s="2028">
        <f>INDEX(Control!$P$107:$R$111,MATCH($N28,Control!$O$107:$O$111,0),MATCH($M28,Control!$P$106:$R$106,0))</f>
        <v>0.17822941297717404</v>
      </c>
      <c r="H28" s="2147">
        <f>F28*G28*1000/365</f>
        <v>730.11196881469004</v>
      </c>
      <c r="I28" s="2148">
        <f>INDEX(Control!$P$115:$R$119,MATCH($N28,Control!$O$115:$O$119,0),MATCH($M28,Control!$P$114:$R$114,0))</f>
        <v>58.489794212574402</v>
      </c>
      <c r="J28" s="2072">
        <f>H28+I28</f>
        <v>788.6017630272645</v>
      </c>
      <c r="K28" s="1171"/>
      <c r="L28" s="1171"/>
      <c r="M28" s="1821" t="s">
        <v>281</v>
      </c>
      <c r="N28" s="2114" t="s">
        <v>299</v>
      </c>
    </row>
    <row r="29" spans="3:14" s="1195" customFormat="1" ht="15" customHeight="1" x14ac:dyDescent="0.35">
      <c r="C29" s="1818"/>
      <c r="D29" s="2189"/>
      <c r="E29" s="2073" t="s">
        <v>620</v>
      </c>
      <c r="F29" s="1808">
        <f>INDEX(Control!$P$98:$R$102,MATCH($N29,Control!$O$98:$O$102,0),MATCH($M29,Control!$P$97:$R$97,0))</f>
        <v>1648.9374094288496</v>
      </c>
      <c r="G29" s="2074">
        <f>INDEX(Control!$P$107:$R$111,MATCH($N29,Control!$O$107:$O$111,0),MATCH($M29,Control!$P$106:$R$106,0))</f>
        <v>0.18790154206710236</v>
      </c>
      <c r="H29" s="1809">
        <f>F29*G29*1000/365</f>
        <v>848.87090959948978</v>
      </c>
      <c r="I29" s="1808">
        <f>INDEX(Control!$P$115:$R$119,MATCH($N29,Control!$O$115:$O$119,0),MATCH($M29,Control!$P$114:$R$114,0))</f>
        <v>104.59071977000416</v>
      </c>
      <c r="J29" s="2072">
        <f>H29+I29</f>
        <v>953.46162936949395</v>
      </c>
      <c r="K29" s="1171"/>
      <c r="L29" s="1171"/>
      <c r="M29" s="1821" t="s">
        <v>283</v>
      </c>
      <c r="N29" s="2114" t="s">
        <v>299</v>
      </c>
    </row>
    <row r="30" spans="3:14" s="1195" customFormat="1" ht="15" customHeight="1" x14ac:dyDescent="0.35">
      <c r="C30" s="1818"/>
      <c r="D30" s="2189"/>
      <c r="E30" s="1819" t="s">
        <v>621</v>
      </c>
      <c r="F30" s="1810">
        <f>INDEX(Control!$P$98:$R$102,MATCH($N30,Control!$O$98:$O$102,0),MATCH($M30,Control!$P$97:$R$97,0))</f>
        <v>1979.7436139308079</v>
      </c>
      <c r="G30" s="2028">
        <f>INDEX(Control!$P$107:$R$111,MATCH($N30,Control!$O$107:$O$111,0),MATCH($M30,Control!$P$106:$R$106,0))</f>
        <v>9.613812527284453E-2</v>
      </c>
      <c r="H30" s="1812">
        <f>F30*G30*(1000/365)</f>
        <v>521.44887551833961</v>
      </c>
      <c r="I30" s="1810">
        <f>INDEX(Control!$P$115:$R$119,MATCH($N30,Control!$O$115:$O$119,0),MATCH($M30,Control!$P$114:$R$114,0))</f>
        <v>204.18441092063185</v>
      </c>
      <c r="J30" s="2072">
        <f>H30+I30</f>
        <v>725.63328643897148</v>
      </c>
      <c r="K30" s="1171"/>
      <c r="L30" s="1171"/>
      <c r="M30" s="1821" t="s">
        <v>282</v>
      </c>
      <c r="N30" s="2114" t="s">
        <v>299</v>
      </c>
    </row>
    <row r="31" spans="3:14" ht="6" customHeight="1" thickBot="1" x14ac:dyDescent="0.4">
      <c r="D31" s="2068"/>
      <c r="E31" s="1113"/>
      <c r="F31" s="1113"/>
      <c r="G31" s="1113"/>
      <c r="H31" s="1113"/>
      <c r="I31" s="1113"/>
      <c r="J31" s="1113"/>
      <c r="K31" s="1114"/>
      <c r="L31" s="1114"/>
      <c r="M31" s="1201"/>
      <c r="N31" s="1201"/>
    </row>
    <row r="32" spans="3:14" ht="6" customHeight="1" thickTop="1" x14ac:dyDescent="0.35">
      <c r="E32" s="1114"/>
      <c r="F32" s="1114"/>
      <c r="G32" s="1114"/>
      <c r="H32" s="1114"/>
      <c r="I32" s="1114"/>
      <c r="J32" s="1114"/>
      <c r="K32" s="1114"/>
      <c r="L32" s="1114"/>
      <c r="M32" s="1201"/>
      <c r="N32" s="1201"/>
    </row>
    <row r="33" spans="4:14" ht="15" customHeight="1" x14ac:dyDescent="0.35">
      <c r="D33" s="1115" t="s">
        <v>26</v>
      </c>
      <c r="I33" s="346"/>
      <c r="J33" s="346"/>
      <c r="M33" s="1201"/>
      <c r="N33" s="1201"/>
    </row>
    <row r="34" spans="4:14" ht="15" customHeight="1" x14ac:dyDescent="0.35">
      <c r="D34" s="404" t="s">
        <v>679</v>
      </c>
      <c r="I34" s="346"/>
      <c r="J34" s="346"/>
      <c r="M34" s="1201"/>
      <c r="N34" s="1201"/>
    </row>
    <row r="35" spans="4:14" ht="15" customHeight="1" x14ac:dyDescent="0.35">
      <c r="D35" s="2137" t="str">
        <f>F8&amp;", "&amp;G8&amp;", "&amp;I8&amp;": From "&amp;Control!$D$3&amp;"."</f>
        <v>[A], [B], [D]: From Control Table.</v>
      </c>
      <c r="F35" s="2014"/>
      <c r="G35" s="2014"/>
      <c r="H35" s="2014"/>
      <c r="I35" s="2014"/>
      <c r="J35" s="2014"/>
      <c r="M35" s="1201"/>
      <c r="N35" s="1201"/>
    </row>
    <row r="36" spans="4:14" ht="15" customHeight="1" x14ac:dyDescent="0.35">
      <c r="D36" s="2137" t="str">
        <f>H8&amp;": "&amp;F8&amp;" x "&amp;G8&amp;" x "&amp;"1000/365."</f>
        <v>[C]: [A] x [B] x 1000/365.</v>
      </c>
      <c r="F36" s="2014"/>
      <c r="G36" s="2014"/>
      <c r="H36" s="2014"/>
      <c r="I36" s="2014"/>
      <c r="J36" s="2014"/>
      <c r="N36" s="1201"/>
    </row>
    <row r="37" spans="4:14" ht="15" customHeight="1" x14ac:dyDescent="0.35">
      <c r="D37" s="2137" t="str">
        <f>J8&amp;": "&amp;H8&amp;" + "&amp;I8&amp;"."</f>
        <v>[E]: [C] + [D].</v>
      </c>
    </row>
    <row r="45" spans="4:14" ht="15" customHeight="1" x14ac:dyDescent="0.35">
      <c r="E45" s="955"/>
      <c r="F45" s="1108"/>
      <c r="G45" s="1109"/>
      <c r="H45" s="1110"/>
      <c r="I45" s="1108"/>
      <c r="J45" s="1108"/>
      <c r="K45" s="1110"/>
      <c r="L45" s="1110"/>
    </row>
  </sheetData>
  <mergeCells count="5">
    <mergeCell ref="D12:D14"/>
    <mergeCell ref="D16:D18"/>
    <mergeCell ref="D20:D22"/>
    <mergeCell ref="D24:D26"/>
    <mergeCell ref="D28:D30"/>
  </mergeCells>
  <printOptions horizontalCentered="1"/>
  <pageMargins left="0.7" right="0.7" top="0.75" bottom="0.75" header="0.3" footer="0.3"/>
  <pageSetup orientation="landscape" horizontalDpi="1200" verticalDpi="1200"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9E5D-E129-4DE7-B10D-FD63CFEF467E}">
  <sheetPr codeName="Sheet6">
    <pageSetUpPr autoPageBreaks="0"/>
  </sheetPr>
  <dimension ref="A1:N41"/>
  <sheetViews>
    <sheetView showGridLines="0" zoomScale="70" zoomScaleNormal="70" workbookViewId="0"/>
  </sheetViews>
  <sheetFormatPr defaultColWidth="8.7265625" defaultRowHeight="14.5" outlineLevelRow="1" x14ac:dyDescent="0.35"/>
  <cols>
    <col min="1" max="1" width="13.54296875" style="1282" customWidth="1"/>
    <col min="2" max="3" width="13.54296875" style="82" customWidth="1"/>
    <col min="4" max="4" width="22.81640625" style="82" customWidth="1"/>
    <col min="5" max="5" width="18.54296875" style="1374" bestFit="1" customWidth="1"/>
    <col min="6" max="6" width="5.54296875" style="1282" customWidth="1"/>
    <col min="7" max="7" width="15.453125" style="1375" bestFit="1" customWidth="1"/>
    <col min="8" max="11" width="11.7265625" style="1374" customWidth="1"/>
    <col min="12" max="16" width="11.7265625" style="82" customWidth="1"/>
    <col min="17" max="16384" width="8.7265625" style="82"/>
  </cols>
  <sheetData>
    <row r="1" spans="1:14" ht="15" customHeight="1" x14ac:dyDescent="0.35">
      <c r="A1" s="1282" t="s">
        <v>275</v>
      </c>
      <c r="G1" s="140"/>
      <c r="H1" s="140"/>
    </row>
    <row r="2" spans="1:14" ht="15" customHeight="1" x14ac:dyDescent="0.35">
      <c r="E2" s="82"/>
      <c r="G2" s="82"/>
    </row>
    <row r="3" spans="1:14" ht="15" customHeight="1" x14ac:dyDescent="0.35">
      <c r="D3" s="88" t="str">
        <f>LEFT(D4,FIND(":",D4)-1)</f>
        <v>Table T3</v>
      </c>
    </row>
    <row r="4" spans="1:14" ht="15" customHeight="1" x14ac:dyDescent="0.35">
      <c r="D4" s="1652" t="str">
        <f>ToC!$J$10</f>
        <v>Table T3: CONE Summary for CT Resource (Nominal$)</v>
      </c>
    </row>
    <row r="5" spans="1:14" ht="6" customHeight="1" thickBot="1" x14ac:dyDescent="0.5">
      <c r="D5" s="978"/>
      <c r="E5" s="979"/>
      <c r="F5" s="1376"/>
      <c r="G5" s="979"/>
      <c r="H5" s="979"/>
      <c r="I5" s="979"/>
      <c r="J5" s="979"/>
      <c r="K5" s="979"/>
      <c r="L5" s="980"/>
    </row>
    <row r="6" spans="1:14" ht="6" customHeight="1" thickTop="1" x14ac:dyDescent="0.45">
      <c r="D6" s="981"/>
      <c r="E6" s="982"/>
      <c r="F6" s="1377"/>
      <c r="G6" s="982"/>
      <c r="H6" s="982"/>
      <c r="I6" s="982"/>
      <c r="J6" s="982"/>
      <c r="K6" s="982"/>
      <c r="L6" s="983"/>
    </row>
    <row r="7" spans="1:14" ht="14.5" hidden="1" customHeight="1" outlineLevel="1" x14ac:dyDescent="0.45">
      <c r="D7" s="981"/>
      <c r="E7" s="982"/>
      <c r="F7" s="1377"/>
      <c r="G7" s="982"/>
      <c r="H7" s="1378">
        <v>1</v>
      </c>
      <c r="I7" s="1378">
        <v>2</v>
      </c>
      <c r="J7" s="1378">
        <v>3</v>
      </c>
      <c r="K7" s="1378">
        <v>4</v>
      </c>
      <c r="L7" s="1378">
        <v>5</v>
      </c>
    </row>
    <row r="8" spans="1:14" ht="20.149999999999999" customHeight="1" collapsed="1" x14ac:dyDescent="0.35">
      <c r="D8" s="1975" t="s">
        <v>287</v>
      </c>
      <c r="E8" s="1976"/>
      <c r="F8" s="1977"/>
      <c r="G8" s="1977"/>
      <c r="H8" s="1380" t="s">
        <v>288</v>
      </c>
      <c r="I8" s="1380" t="s">
        <v>289</v>
      </c>
      <c r="J8" s="1380" t="s">
        <v>290</v>
      </c>
      <c r="K8" s="1380" t="s">
        <v>291</v>
      </c>
      <c r="L8" s="1467" t="s">
        <v>299</v>
      </c>
    </row>
    <row r="9" spans="1:14" s="399" customFormat="1" ht="6" customHeight="1" x14ac:dyDescent="0.35">
      <c r="A9" s="144"/>
      <c r="D9" s="1755"/>
      <c r="E9" s="1761"/>
      <c r="F9" s="1746"/>
      <c r="G9" s="1756"/>
      <c r="H9" s="1967"/>
      <c r="I9" s="1967"/>
      <c r="J9" s="1967"/>
      <c r="K9" s="1967"/>
      <c r="L9" s="1968"/>
    </row>
    <row r="10" spans="1:14" s="399" customFormat="1" ht="6" customHeight="1" x14ac:dyDescent="0.35">
      <c r="A10" s="144"/>
      <c r="D10" s="1757"/>
      <c r="E10" s="1762"/>
      <c r="F10" s="1747"/>
      <c r="G10" s="1758"/>
      <c r="H10" s="1969"/>
      <c r="I10" s="1969"/>
      <c r="J10" s="1969"/>
      <c r="K10" s="1969"/>
      <c r="L10" s="1970"/>
    </row>
    <row r="11" spans="1:14" s="399" customFormat="1" ht="15" customHeight="1" x14ac:dyDescent="0.35">
      <c r="A11" s="144">
        <v>1</v>
      </c>
      <c r="D11" s="1965" t="s">
        <v>487</v>
      </c>
      <c r="E11" s="1965" t="s">
        <v>4</v>
      </c>
      <c r="F11" s="1743" t="str">
        <f>"["&amp;A11&amp;"]"</f>
        <v>[1]</v>
      </c>
      <c r="G11" s="2123" t="str">
        <f>'CT OM Costs'!D$3</f>
        <v>Table B2</v>
      </c>
      <c r="H11" s="2121">
        <f>IFERROR('CT OM Costs'!K$34,"-")</f>
        <v>391.786</v>
      </c>
      <c r="I11" s="2011">
        <f>IFERROR('CT OM Costs'!L$34,"-")</f>
        <v>394.51</v>
      </c>
      <c r="J11" s="2011">
        <f>IFERROR('CT OM Costs'!M$34,"-")</f>
        <v>386.65899999999999</v>
      </c>
      <c r="K11" s="2011">
        <f>IFERROR('CT OM Costs'!N$34,"-")</f>
        <v>382.91800000000001</v>
      </c>
      <c r="L11" s="2011">
        <f>IFERROR('CT OM Costs'!O$34,"-")</f>
        <v>392.53399999999999</v>
      </c>
    </row>
    <row r="12" spans="1:14" s="399" customFormat="1" ht="15" customHeight="1" x14ac:dyDescent="0.35">
      <c r="A12" s="144" cm="1">
        <f t="array" ref="A12">MAX(($A$9:A11)+1)</f>
        <v>2</v>
      </c>
      <c r="D12" s="1933" t="s">
        <v>353</v>
      </c>
      <c r="E12" s="1752" t="s">
        <v>10</v>
      </c>
      <c r="F12" s="1753" t="str">
        <f>"["&amp;A12&amp;"]"</f>
        <v>[2]</v>
      </c>
      <c r="G12" s="1966" t="str">
        <f>Control!$D$3</f>
        <v>Control Table</v>
      </c>
      <c r="H12" s="1739" t="str">
        <f>IF(Control!$H$10=Control!$I$10,_xlfn.XLOOKUP(H$8,Control!$I$79:$M$79,Control!$I$82:$M$82),"-")</f>
        <v>-</v>
      </c>
      <c r="I12" s="1739" t="str">
        <f>IF(Control!$H$10=Control!$I$10,_xlfn.XLOOKUP(I$8,Control!$I$79:$M$79,Control!$I$82:$M$82),"-")</f>
        <v>-</v>
      </c>
      <c r="J12" s="1739" t="str">
        <f>IF(Control!$H$10=Control!$I$10,_xlfn.XLOOKUP(J$8,Control!$I$79:$M$79,Control!$I$82:$M$82),"-")</f>
        <v>-</v>
      </c>
      <c r="K12" s="1739" t="str">
        <f>IF(Control!$H$10=Control!$I$10,_xlfn.XLOOKUP(K$8,Control!$I$79:$M$79,Control!$I$82:$M$82),"-")</f>
        <v>-</v>
      </c>
      <c r="L12" s="1739" t="str">
        <f>IF(Control!$H$10=Control!$I$10,_xlfn.XLOOKUP(L$8,Control!$I$79:$M$79,Control!$I$82:$M$82),"-")</f>
        <v>-</v>
      </c>
      <c r="M12" s="1385"/>
      <c r="N12" s="1029"/>
    </row>
    <row r="13" spans="1:14" s="399" customFormat="1" ht="15" customHeight="1" x14ac:dyDescent="0.35">
      <c r="A13" s="144" cm="1">
        <f t="array" ref="A13">MAX(($A$9:A12)+1)</f>
        <v>3</v>
      </c>
      <c r="D13" s="1934" t="s">
        <v>229</v>
      </c>
      <c r="E13" s="1742" t="str">
        <f>"%"</f>
        <v>%</v>
      </c>
      <c r="F13" s="1285" t="str">
        <f>"["&amp;A13&amp;"]"</f>
        <v>[3]</v>
      </c>
      <c r="G13" s="2124" t="str">
        <f>Control!$D$3</f>
        <v>Control Table</v>
      </c>
      <c r="H13" s="2122" t="str">
        <f>IF(Control!$H$10=Control!$I$10, _xlfn.XLOOKUP(H$8,Control!$I$79:$M$79,Control!$I$83:$M$83), "-")</f>
        <v>-</v>
      </c>
      <c r="I13" s="1308" t="str">
        <f>IF(Control!$H$10=Control!$I$10, _xlfn.XLOOKUP(I$8,Control!$I$79:$M$79,Control!$I$83:$M$83), "-")</f>
        <v>-</v>
      </c>
      <c r="J13" s="1308" t="str">
        <f>IF(Control!$H$10=Control!$I$10, _xlfn.XLOOKUP(J$8,Control!$I$79:$M$79,Control!$I$83:$M$83), "-")</f>
        <v>-</v>
      </c>
      <c r="K13" s="1308" t="str">
        <f>IF(Control!$H$10=Control!$I$10, _xlfn.XLOOKUP(K$8,Control!$I$79:$M$79,Control!$I$83:$M$83), "-")</f>
        <v>-</v>
      </c>
      <c r="L13" s="1308" t="str">
        <f>IF(Control!$H$10=Control!$I$10, _xlfn.XLOOKUP(L$8,Control!$I$79:$M$79,Control!$I$83:$M$83), "-")</f>
        <v>-</v>
      </c>
      <c r="N13" s="1029"/>
    </row>
    <row r="14" spans="1:14" s="399" customFormat="1" ht="6" customHeight="1" x14ac:dyDescent="0.35">
      <c r="A14" s="144"/>
      <c r="D14" s="1848"/>
      <c r="E14" s="1752"/>
      <c r="F14" s="1753"/>
      <c r="G14" s="1752"/>
      <c r="H14" s="1754"/>
      <c r="I14" s="1754"/>
      <c r="J14" s="1754"/>
      <c r="K14" s="1754"/>
      <c r="L14" s="1754"/>
    </row>
    <row r="15" spans="1:14" ht="15" customHeight="1" x14ac:dyDescent="0.35">
      <c r="D15" s="1733" t="s">
        <v>231</v>
      </c>
      <c r="E15" s="1750"/>
      <c r="F15" s="1734"/>
      <c r="G15" s="1735" t="s">
        <v>163</v>
      </c>
      <c r="H15" s="1737"/>
      <c r="I15" s="1737"/>
      <c r="J15" s="1737"/>
      <c r="K15" s="1737"/>
      <c r="L15" s="1740"/>
    </row>
    <row r="16" spans="1:14" ht="15" customHeight="1" x14ac:dyDescent="0.35">
      <c r="A16" s="144" cm="1">
        <f t="array" ref="A16">MAX(($A$9:A15)+1)</f>
        <v>4</v>
      </c>
      <c r="D16" s="1732" t="s">
        <v>3</v>
      </c>
      <c r="E16" s="1742" t="s">
        <v>262</v>
      </c>
      <c r="F16" s="1285" t="str">
        <f>"["&amp;A16&amp;"]"</f>
        <v>[4]</v>
      </c>
      <c r="G16" s="2124" t="str">
        <f>Control!$D$3</f>
        <v>Control Table</v>
      </c>
      <c r="H16" s="950" t="str">
        <f>IF(Control!$H$10=Control!$I$10,_xlfn.XLOOKUP(H$8,Control!$I$79:$M$79,Control!$I$84:$M$84),"-")</f>
        <v>-</v>
      </c>
      <c r="I16" s="951" t="str">
        <f>IF(Control!$H$10=Control!$I$10,_xlfn.XLOOKUP(I$8,Control!$I$79:$M$79,Control!$I$84:$M$84),"-")</f>
        <v>-</v>
      </c>
      <c r="J16" s="951" t="str">
        <f>IF(Control!$H$10=Control!$I$10,_xlfn.XLOOKUP(J$8,Control!$I$79:$M$79,Control!$I$84:$M$84),"-")</f>
        <v>-</v>
      </c>
      <c r="K16" s="951" t="str">
        <f>IF(Control!$H$10=Control!$I$10,_xlfn.XLOOKUP(K$8,Control!$I$79:$M$79,Control!$I$84:$M$84),"-")</f>
        <v>-</v>
      </c>
      <c r="L16" s="951" t="str">
        <f>IF(Control!$H$10=Control!$I$10,_xlfn.XLOOKUP(L$8,Control!$I$79:$M$79,Control!$I$84:$M$84),"-")</f>
        <v>-</v>
      </c>
    </row>
    <row r="17" spans="1:14" s="399" customFormat="1" ht="15" customHeight="1" x14ac:dyDescent="0.35">
      <c r="A17" s="144" cm="1">
        <f t="array" ref="A17">MAX(($A$9:A16)+1)</f>
        <v>5</v>
      </c>
      <c r="D17" s="990" t="s">
        <v>3</v>
      </c>
      <c r="E17" s="1752" t="s">
        <v>263</v>
      </c>
      <c r="F17" s="1287" t="str">
        <f>"["&amp;A17&amp;"]"</f>
        <v>[5]</v>
      </c>
      <c r="G17" s="1288" t="str">
        <f>F16&amp;" x 1000 / "&amp;F11</f>
        <v>[4] x 1000 / [1]</v>
      </c>
      <c r="H17" s="1027" t="str">
        <f>IFERROR(H16*1000/H11,"-")</f>
        <v>-</v>
      </c>
      <c r="I17" s="1027" t="str">
        <f>IFERROR(I16*1000/I11,"-")</f>
        <v>-</v>
      </c>
      <c r="J17" s="1027" t="str">
        <f>IFERROR(J16*1000/J11,"-")</f>
        <v>-</v>
      </c>
      <c r="K17" s="1027" t="str">
        <f>IFERROR(K16*1000/K11,"-")</f>
        <v>-</v>
      </c>
      <c r="L17" s="1027" t="str">
        <f>IFERROR(L16*1000/L11,"-")</f>
        <v>-</v>
      </c>
      <c r="M17" s="1383"/>
    </row>
    <row r="18" spans="1:14" s="399" customFormat="1" ht="6" customHeight="1" x14ac:dyDescent="0.35">
      <c r="A18" s="144"/>
      <c r="D18" s="990"/>
      <c r="E18" s="1752"/>
      <c r="F18" s="1287"/>
      <c r="G18" s="1288"/>
      <c r="H18" s="1027"/>
      <c r="I18" s="1027"/>
      <c r="J18" s="1027"/>
      <c r="K18" s="1027"/>
      <c r="L18" s="1027"/>
      <c r="M18" s="1383"/>
    </row>
    <row r="19" spans="1:14" s="399" customFormat="1" ht="15" customHeight="1" x14ac:dyDescent="0.35">
      <c r="A19" s="144" cm="1">
        <f t="array" ref="A19">MAX(($A$9:A18)+1)</f>
        <v>6</v>
      </c>
      <c r="D19" s="1732" t="s">
        <v>7</v>
      </c>
      <c r="E19" s="1742" t="s">
        <v>262</v>
      </c>
      <c r="F19" s="1285" t="str">
        <f>"["&amp;A19&amp;"]"</f>
        <v>[6]</v>
      </c>
      <c r="G19" s="2124" t="str">
        <f>Control!$D$3</f>
        <v>Control Table</v>
      </c>
      <c r="H19" s="950" t="str">
        <f>IF(Control!$H$10=Control!$I$10,_xlfn.XLOOKUP(H$8,Control!$I$79:$M$79,Control!$I$85:$M$85),"-")</f>
        <v>-</v>
      </c>
      <c r="I19" s="951" t="str">
        <f>IF(Control!$H$10=Control!$I$10,_xlfn.XLOOKUP(I$8,Control!$I$79:$M$79,Control!$I$85:$M$85),"-")</f>
        <v>-</v>
      </c>
      <c r="J19" s="951" t="str">
        <f>IF(Control!$H$10=Control!$I$10,_xlfn.XLOOKUP(J$8,Control!$I$79:$M$79,Control!$I$85:$M$85),"-")</f>
        <v>-</v>
      </c>
      <c r="K19" s="951" t="str">
        <f>IF(Control!$H$10=Control!$I$10,_xlfn.XLOOKUP(K$8,Control!$I$79:$M$79,Control!$I$85:$M$85),"-")</f>
        <v>-</v>
      </c>
      <c r="L19" s="951" t="str">
        <f>IF(Control!$H$10=Control!$I$10,_xlfn.XLOOKUP(L$8,Control!$I$79:$M$79,Control!$I$85:$M$85),"-")</f>
        <v>-</v>
      </c>
      <c r="M19" s="1383"/>
    </row>
    <row r="20" spans="1:14" s="399" customFormat="1" ht="15" customHeight="1" x14ac:dyDescent="0.35">
      <c r="A20" s="144" cm="1">
        <f t="array" ref="A20">MAX(($A$9:A19)+1)</f>
        <v>7</v>
      </c>
      <c r="D20" s="990" t="s">
        <v>7</v>
      </c>
      <c r="E20" s="1752" t="s">
        <v>263</v>
      </c>
      <c r="F20" s="1287" t="str">
        <f>"["&amp;A20&amp;"]"</f>
        <v>[7]</v>
      </c>
      <c r="G20" s="1288" t="str">
        <f>F19&amp;" x 1000 / "&amp;F11</f>
        <v>[6] x 1000 / [1]</v>
      </c>
      <c r="H20" s="1027" t="str">
        <f>IFERROR(H19*1000/H11,"-")</f>
        <v>-</v>
      </c>
      <c r="I20" s="1027" t="str">
        <f>IFERROR(I19*1000/I11,"-")</f>
        <v>-</v>
      </c>
      <c r="J20" s="1027" t="str">
        <f>IFERROR(J19*1000/J11,"-")</f>
        <v>-</v>
      </c>
      <c r="K20" s="1027" t="str">
        <f>IFERROR(K19*1000/K11,"-")</f>
        <v>-</v>
      </c>
      <c r="L20" s="1027" t="str">
        <f>IFERROR(L19*1000/L11,"-")</f>
        <v>-</v>
      </c>
      <c r="M20" s="1383"/>
    </row>
    <row r="21" spans="1:14" s="399" customFormat="1" ht="6" customHeight="1" x14ac:dyDescent="0.35">
      <c r="A21" s="144"/>
      <c r="D21" s="990"/>
      <c r="E21" s="1752"/>
      <c r="F21" s="1287"/>
      <c r="G21" s="1288"/>
      <c r="H21" s="1027"/>
      <c r="I21" s="1027"/>
      <c r="J21" s="1027"/>
      <c r="K21" s="1027"/>
      <c r="L21" s="1027"/>
      <c r="M21" s="1383"/>
    </row>
    <row r="22" spans="1:14" s="399" customFormat="1" ht="15" customHeight="1" x14ac:dyDescent="0.35">
      <c r="A22" s="144" cm="1">
        <f t="array" ref="A22">MAX(($A$9:A21)+1)</f>
        <v>8</v>
      </c>
      <c r="D22" s="1732" t="s">
        <v>230</v>
      </c>
      <c r="E22" s="1742" t="s">
        <v>264</v>
      </c>
      <c r="F22" s="1285" t="str">
        <f>"["&amp;A22&amp;"]"</f>
        <v>[8]</v>
      </c>
      <c r="G22" s="1284" t="str">
        <f>F17&amp;" x "&amp;F13</f>
        <v>[5] x [3]</v>
      </c>
      <c r="H22" s="951" t="str">
        <f>IFERROR(H17*H13,"-")</f>
        <v>-</v>
      </c>
      <c r="I22" s="951" t="str">
        <f>IFERROR(I17*I13,"-")</f>
        <v>-</v>
      </c>
      <c r="J22" s="951" t="str">
        <f>IFERROR(J17*J13,"-")</f>
        <v>-</v>
      </c>
      <c r="K22" s="951" t="str">
        <f>IFERROR(K17*K13,"-")</f>
        <v>-</v>
      </c>
      <c r="L22" s="951" t="str">
        <f>IFERROR(L17*L13,"-")</f>
        <v>-</v>
      </c>
      <c r="N22" s="1029"/>
    </row>
    <row r="23" spans="1:14" s="399" customFormat="1" ht="6" customHeight="1" x14ac:dyDescent="0.35">
      <c r="A23" s="144"/>
      <c r="D23" s="989"/>
      <c r="E23" s="1752"/>
      <c r="F23" s="1350"/>
      <c r="G23" s="1288"/>
      <c r="H23" s="1971"/>
      <c r="I23" s="1384"/>
      <c r="J23" s="1384"/>
      <c r="K23" s="1384"/>
      <c r="L23" s="1971"/>
      <c r="N23" s="1029"/>
    </row>
    <row r="24" spans="1:14" s="399" customFormat="1" ht="15" customHeight="1" x14ac:dyDescent="0.35">
      <c r="A24" s="144"/>
      <c r="D24" s="1733" t="s">
        <v>76</v>
      </c>
      <c r="E24" s="1750"/>
      <c r="F24" s="1734"/>
      <c r="G24" s="1741"/>
      <c r="H24" s="1972"/>
      <c r="I24" s="1972"/>
      <c r="J24" s="1972"/>
      <c r="K24" s="1972"/>
      <c r="L24" s="1972"/>
      <c r="N24" s="1029"/>
    </row>
    <row r="25" spans="1:14" s="399" customFormat="1" ht="15" customHeight="1" x14ac:dyDescent="0.35">
      <c r="A25" s="144" cm="1">
        <f t="array" ref="A25">MAX(($A$9:A24)+1)</f>
        <v>9</v>
      </c>
      <c r="D25" s="1732" t="s">
        <v>200</v>
      </c>
      <c r="E25" s="1742" t="s">
        <v>265</v>
      </c>
      <c r="F25" s="1285" t="str">
        <f>"["&amp;A25&amp;"]"</f>
        <v>[9]</v>
      </c>
      <c r="G25" s="2124" t="str">
        <f>Control!$D$3</f>
        <v>Control Table</v>
      </c>
      <c r="H25" s="950" t="str">
        <f>IF(Control!$H$10=Control!$I$10,_xlfn.XLOOKUP(H$8,Control!$I$79:$M$79,Control!$I$86:$M$86),"-")</f>
        <v>-</v>
      </c>
      <c r="I25" s="951" t="str">
        <f>IF(Control!$H$10=Control!$I$10,_xlfn.XLOOKUP(I$8,Control!$I$79:$M$79,Control!$I$86:$M$86),"-")</f>
        <v>-</v>
      </c>
      <c r="J25" s="951" t="str">
        <f>IF(Control!$H$10=Control!$I$10,_xlfn.XLOOKUP(J$8,Control!$I$79:$M$79,Control!$I$86:$M$86),"-")</f>
        <v>-</v>
      </c>
      <c r="K25" s="951" t="str">
        <f>IF(Control!$H$10=Control!$I$10,_xlfn.XLOOKUP(K$8,Control!$I$79:$M$79,Control!$I$86:$M$86),"-")</f>
        <v>-</v>
      </c>
      <c r="L25" s="951" t="str">
        <f>IF(Control!$H$10=Control!$I$10,_xlfn.XLOOKUP(L$8,Control!$I$79:$M$79,Control!$I$86:$M$86),"-")</f>
        <v>-</v>
      </c>
      <c r="N25" s="1029"/>
    </row>
    <row r="26" spans="1:14" s="399" customFormat="1" ht="15" customHeight="1" x14ac:dyDescent="0.35">
      <c r="A26" s="144" cm="1">
        <f t="array" ref="A26">MAX(($A$9:A25)+1)</f>
        <v>10</v>
      </c>
      <c r="D26" s="990" t="s">
        <v>205</v>
      </c>
      <c r="E26" s="1752" t="s">
        <v>264</v>
      </c>
      <c r="F26" s="1287" t="str">
        <f>"["&amp;A26&amp;"]"</f>
        <v>[10]</v>
      </c>
      <c r="G26" s="1966" t="str">
        <f>Control!$D$3</f>
        <v>Control Table</v>
      </c>
      <c r="H26" s="1027" t="str">
        <f>IF(Control!$H$10=Control!$I$10,_xlfn.XLOOKUP(H$8,Control!$I$79:$M$79,Control!$I$89:$M$89),"-")</f>
        <v>-</v>
      </c>
      <c r="I26" s="1027" t="str">
        <f>IF(Control!$H$10=Control!$I$10,_xlfn.XLOOKUP(I$8,Control!$I$79:$M$79,Control!$I$89:$M$89),"-")</f>
        <v>-</v>
      </c>
      <c r="J26" s="1027" t="str">
        <f>IF(Control!$H$10=Control!$I$10,_xlfn.XLOOKUP(J$8,Control!$I$79:$M$79,Control!$I$89:$M$89),"-")</f>
        <v>-</v>
      </c>
      <c r="K26" s="1027" t="str">
        <f>IF(Control!$H$10=Control!$I$10,_xlfn.XLOOKUP(K$8,Control!$I$79:$M$79,Control!$I$89:$M$89),"-")</f>
        <v>-</v>
      </c>
      <c r="L26" s="1027" t="str">
        <f>IF(Control!$H$10=Control!$I$10,_xlfn.XLOOKUP(L$8,Control!$I$79:$M$79,Control!$I$89:$M$89),"-")</f>
        <v>-</v>
      </c>
      <c r="M26" s="1385"/>
      <c r="N26" s="1029"/>
    </row>
    <row r="27" spans="1:14" ht="6" customHeight="1" x14ac:dyDescent="0.35">
      <c r="D27" s="992"/>
      <c r="E27" s="1763"/>
      <c r="F27" s="1386"/>
      <c r="G27" s="1387"/>
      <c r="H27" s="1388"/>
      <c r="I27" s="1388"/>
      <c r="J27" s="1388"/>
      <c r="K27" s="1388"/>
      <c r="L27" s="1389"/>
    </row>
    <row r="28" spans="1:14" ht="6" customHeight="1" x14ac:dyDescent="0.35">
      <c r="D28" s="1748"/>
      <c r="E28" s="1764"/>
      <c r="F28" s="1745"/>
      <c r="G28" s="1749"/>
      <c r="H28" s="1973"/>
      <c r="I28" s="1973"/>
      <c r="J28" s="1973"/>
      <c r="K28" s="1973"/>
      <c r="L28" s="1974"/>
    </row>
    <row r="29" spans="1:14" ht="15" customHeight="1" x14ac:dyDescent="0.35">
      <c r="A29" s="144" cm="1">
        <f t="array" ref="A29">MAX(($A$9:A28)+1)</f>
        <v>11</v>
      </c>
      <c r="D29" s="1854" t="s">
        <v>206</v>
      </c>
      <c r="E29" s="1855" t="s">
        <v>264</v>
      </c>
      <c r="F29" s="1856" t="str">
        <f>"["&amp;A29&amp;"]"</f>
        <v>[11]</v>
      </c>
      <c r="G29" s="2141" t="str">
        <f>F22&amp;" + "&amp;F26</f>
        <v>[8] + [10]</v>
      </c>
      <c r="H29" s="1935" t="str">
        <f>IFERROR(H22+H26,"-")</f>
        <v>-</v>
      </c>
      <c r="I29" s="1935" t="str">
        <f>IFERROR(I22+I26,"-")</f>
        <v>-</v>
      </c>
      <c r="J29" s="1935" t="str">
        <f>IFERROR(J22+J26,"-")</f>
        <v>-</v>
      </c>
      <c r="K29" s="1935" t="str">
        <f>IFERROR(K22+K26,"-")</f>
        <v>-</v>
      </c>
      <c r="L29" s="1935" t="str">
        <f>IFERROR(L22+L26,"-")</f>
        <v>-</v>
      </c>
      <c r="M29" s="1392"/>
    </row>
    <row r="30" spans="1:14" ht="15" customHeight="1" x14ac:dyDescent="0.35">
      <c r="A30" s="144" cm="1">
        <f t="array" ref="A30">MAX(($A$9:A29)+1)</f>
        <v>12</v>
      </c>
      <c r="D30" s="1854" t="s">
        <v>206</v>
      </c>
      <c r="E30" s="1855" t="s">
        <v>484</v>
      </c>
      <c r="F30" s="1856" t="str">
        <f>"["&amp;A30&amp;"]"</f>
        <v>[12]</v>
      </c>
      <c r="G30" s="2141" t="str">
        <f>F29&amp;" x 1000/365"</f>
        <v>[11] x 1000/365</v>
      </c>
      <c r="H30" s="1936" t="str">
        <f>IFERROR(H29*1000/365,"-")</f>
        <v>-</v>
      </c>
      <c r="I30" s="1936" t="str">
        <f>IFERROR(I29*1000/365,"-")</f>
        <v>-</v>
      </c>
      <c r="J30" s="1936" t="str">
        <f>IFERROR(J29*1000/365,"-")</f>
        <v>-</v>
      </c>
      <c r="K30" s="1936" t="str">
        <f>IFERROR(K29*1000/365,"-")</f>
        <v>-</v>
      </c>
      <c r="L30" s="1936" t="str">
        <f>IFERROR(L29*1000/365,"-")</f>
        <v>-</v>
      </c>
      <c r="M30" s="1392"/>
    </row>
    <row r="31" spans="1:14" ht="6" customHeight="1" thickBot="1" x14ac:dyDescent="0.4">
      <c r="D31" s="1393"/>
      <c r="E31" s="1394"/>
      <c r="F31" s="1395"/>
      <c r="G31" s="1396"/>
      <c r="H31" s="1396"/>
      <c r="I31" s="1396"/>
      <c r="J31" s="1396"/>
      <c r="K31" s="1396"/>
      <c r="L31" s="1393"/>
    </row>
    <row r="32" spans="1:14" ht="6" customHeight="1" thickTop="1" x14ac:dyDescent="0.35">
      <c r="D32" s="984"/>
      <c r="E32" s="988"/>
      <c r="F32" s="1379"/>
      <c r="G32" s="988"/>
      <c r="H32" s="988"/>
      <c r="I32" s="988"/>
      <c r="J32" s="988"/>
      <c r="K32" s="988"/>
      <c r="L32" s="984"/>
    </row>
    <row r="33" spans="4:12" ht="15" customHeight="1" x14ac:dyDescent="0.35">
      <c r="D33" s="1397" t="str">
        <f>"Notes and Sources:"</f>
        <v>Notes and Sources:</v>
      </c>
      <c r="E33" s="82"/>
      <c r="G33" s="988"/>
      <c r="H33" s="988"/>
      <c r="I33" s="988"/>
      <c r="J33" s="988"/>
      <c r="K33" s="988"/>
      <c r="L33" s="1398"/>
    </row>
    <row r="34" spans="4:12" ht="15" customHeight="1" x14ac:dyDescent="0.35">
      <c r="D34" s="46" t="s">
        <v>679</v>
      </c>
      <c r="E34" s="82"/>
      <c r="G34" s="988"/>
      <c r="H34" s="988"/>
      <c r="I34" s="988"/>
      <c r="J34" s="988"/>
      <c r="K34" s="988"/>
      <c r="L34" s="1398"/>
    </row>
    <row r="35" spans="4:12" ht="15" customHeight="1" x14ac:dyDescent="0.35">
      <c r="E35" s="985"/>
      <c r="G35" s="985"/>
      <c r="H35" s="985"/>
      <c r="I35" s="985"/>
      <c r="J35" s="985"/>
      <c r="K35" s="985"/>
      <c r="L35" s="1399"/>
    </row>
    <row r="36" spans="4:12" ht="15" customHeight="1" x14ac:dyDescent="0.35">
      <c r="G36" s="1400"/>
      <c r="H36" s="1401"/>
      <c r="I36" s="1401"/>
      <c r="J36" s="1401"/>
      <c r="K36" s="1401"/>
      <c r="L36" s="991"/>
    </row>
    <row r="37" spans="4:12" ht="15" customHeight="1" x14ac:dyDescent="0.35">
      <c r="G37" s="1400"/>
      <c r="H37" s="1401"/>
      <c r="I37" s="1401"/>
      <c r="J37" s="1401"/>
      <c r="K37" s="1401"/>
      <c r="L37" s="991"/>
    </row>
    <row r="38" spans="4:12" ht="15" customHeight="1" x14ac:dyDescent="0.35">
      <c r="G38" s="1400"/>
      <c r="H38" s="1401"/>
      <c r="I38" s="1401"/>
      <c r="J38" s="1401"/>
      <c r="K38" s="1401"/>
      <c r="L38" s="991"/>
    </row>
    <row r="39" spans="4:12" ht="15" customHeight="1" x14ac:dyDescent="0.35">
      <c r="G39" s="1400"/>
      <c r="H39" s="1401"/>
      <c r="I39" s="1401"/>
      <c r="J39" s="1401"/>
      <c r="K39" s="1401"/>
      <c r="L39" s="991"/>
    </row>
    <row r="40" spans="4:12" ht="15" customHeight="1" x14ac:dyDescent="0.35">
      <c r="G40" s="1400"/>
      <c r="H40" s="1401"/>
      <c r="I40" s="1401"/>
      <c r="J40" s="1401"/>
      <c r="K40" s="1401"/>
      <c r="L40" s="991"/>
    </row>
    <row r="41" spans="4:12" ht="15" customHeight="1" x14ac:dyDescent="0.35"/>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2038-33EC-42CB-9D95-D22FB077BB07}">
  <sheetPr codeName="Sheet7">
    <pageSetUpPr autoPageBreaks="0"/>
  </sheetPr>
  <dimension ref="A1:N39"/>
  <sheetViews>
    <sheetView showGridLines="0" zoomScale="70" zoomScaleNormal="70" workbookViewId="0"/>
  </sheetViews>
  <sheetFormatPr defaultColWidth="8.7265625" defaultRowHeight="15" customHeight="1" outlineLevelRow="1" x14ac:dyDescent="0.35"/>
  <cols>
    <col min="1" max="1" width="13.54296875" style="1282" customWidth="1"/>
    <col min="2" max="3" width="13.54296875" style="82" customWidth="1"/>
    <col min="4" max="4" width="22.81640625" style="82" customWidth="1"/>
    <col min="5" max="5" width="19.54296875" style="401" bestFit="1" customWidth="1"/>
    <col min="6" max="6" width="5.54296875" style="1282" customWidth="1"/>
    <col min="7" max="7" width="16.1796875" style="1375" bestFit="1" customWidth="1"/>
    <col min="8" max="11" width="11.7265625" style="1374" customWidth="1"/>
    <col min="12" max="12" width="11.7265625" style="82" customWidth="1"/>
    <col min="13" max="13" width="9.1796875" style="82" bestFit="1" customWidth="1"/>
    <col min="14" max="16384" width="8.7265625" style="82"/>
  </cols>
  <sheetData>
    <row r="1" spans="1:13" ht="15" customHeight="1" x14ac:dyDescent="0.35">
      <c r="A1" s="1282" t="s">
        <v>275</v>
      </c>
      <c r="G1" s="140"/>
      <c r="H1" s="140"/>
    </row>
    <row r="2" spans="1:13" ht="15" customHeight="1" x14ac:dyDescent="0.35">
      <c r="E2" s="1282"/>
    </row>
    <row r="3" spans="1:13" ht="15" customHeight="1" x14ac:dyDescent="0.35">
      <c r="D3" s="88" t="str">
        <f>LEFT(D4,FIND(":",D4)-1)</f>
        <v>Table T4</v>
      </c>
    </row>
    <row r="4" spans="1:13" ht="15" customHeight="1" x14ac:dyDescent="0.35">
      <c r="D4" s="1652" t="str">
        <f>ToC!$J$11</f>
        <v>Table T4: CONE Summary for CC Resource (Nominal$)</v>
      </c>
    </row>
    <row r="5" spans="1:13" ht="6" customHeight="1" thickBot="1" x14ac:dyDescent="0.5">
      <c r="D5" s="978"/>
      <c r="E5" s="979"/>
      <c r="F5" s="1376"/>
      <c r="G5" s="979"/>
      <c r="H5" s="979"/>
      <c r="I5" s="979"/>
      <c r="J5" s="979"/>
      <c r="K5" s="979"/>
      <c r="L5" s="980"/>
    </row>
    <row r="6" spans="1:13" ht="6" customHeight="1" thickTop="1" x14ac:dyDescent="0.45">
      <c r="D6" s="981"/>
      <c r="E6" s="982"/>
      <c r="F6" s="1377"/>
      <c r="G6" s="982"/>
      <c r="H6" s="982"/>
      <c r="I6" s="982"/>
      <c r="J6" s="982"/>
      <c r="K6" s="982"/>
      <c r="L6" s="983"/>
    </row>
    <row r="7" spans="1:13" ht="18.5" hidden="1" outlineLevel="1" x14ac:dyDescent="0.45">
      <c r="D7" s="981"/>
      <c r="E7" s="982"/>
      <c r="F7" s="1377"/>
      <c r="G7" s="982"/>
      <c r="H7" s="1378">
        <v>1</v>
      </c>
      <c r="I7" s="1378">
        <v>2</v>
      </c>
      <c r="J7" s="1378">
        <v>3</v>
      </c>
      <c r="K7" s="1378">
        <v>4</v>
      </c>
      <c r="L7" s="1378">
        <v>5</v>
      </c>
    </row>
    <row r="8" spans="1:13" s="87" customFormat="1" ht="17.149999999999999" customHeight="1" collapsed="1" x14ac:dyDescent="0.35">
      <c r="A8" s="1991"/>
      <c r="D8" s="1975" t="s">
        <v>287</v>
      </c>
      <c r="E8" s="1976"/>
      <c r="F8" s="1977"/>
      <c r="G8" s="1977"/>
      <c r="H8" s="1380" t="s">
        <v>288</v>
      </c>
      <c r="I8" s="1380" t="s">
        <v>289</v>
      </c>
      <c r="J8" s="1380" t="s">
        <v>290</v>
      </c>
      <c r="K8" s="1380" t="s">
        <v>291</v>
      </c>
      <c r="L8" s="1467" t="s">
        <v>299</v>
      </c>
    </row>
    <row r="9" spans="1:13" s="399" customFormat="1" ht="6" customHeight="1" x14ac:dyDescent="0.35">
      <c r="A9" s="144"/>
      <c r="D9" s="1755"/>
      <c r="E9" s="1761"/>
      <c r="F9" s="1746"/>
      <c r="G9" s="1756"/>
      <c r="H9" s="1967"/>
      <c r="I9" s="1967"/>
      <c r="J9" s="1967"/>
      <c r="K9" s="1967"/>
      <c r="L9" s="1968"/>
    </row>
    <row r="10" spans="1:13" s="399" customFormat="1" ht="6" customHeight="1" x14ac:dyDescent="0.35">
      <c r="A10" s="144"/>
      <c r="D10" s="1757"/>
      <c r="E10" s="1762"/>
      <c r="F10" s="1747"/>
      <c r="G10" s="1758"/>
      <c r="H10" s="1969"/>
      <c r="I10" s="1969"/>
      <c r="J10" s="1969"/>
      <c r="K10" s="1969"/>
      <c r="L10" s="1970"/>
    </row>
    <row r="11" spans="1:13" s="399" customFormat="1" ht="15" customHeight="1" x14ac:dyDescent="0.35">
      <c r="A11" s="144" cm="1">
        <f t="array" ref="A11">MAX(($A$10:A10)+1)</f>
        <v>1</v>
      </c>
      <c r="D11" s="1965" t="str">
        <f>Control!$D$42</f>
        <v>Net Summer Capacity</v>
      </c>
      <c r="E11" s="1965" t="s">
        <v>4</v>
      </c>
      <c r="F11" s="1743" t="str">
        <f>"["&amp;A11&amp;"]"</f>
        <v>[1]</v>
      </c>
      <c r="G11" s="2123" t="str">
        <f>'CC OM Costs'!D$3</f>
        <v>Table B3</v>
      </c>
      <c r="H11" s="2011">
        <f>IFERROR('CC OM Costs'!K$34,"-")</f>
        <v>1289.1210000000001</v>
      </c>
      <c r="I11" s="2011">
        <f>IFERROR('CC OM Costs'!L$34,"-")</f>
        <v>1289.296</v>
      </c>
      <c r="J11" s="2011">
        <f>IFERROR('CC OM Costs'!M$34,"-")</f>
        <v>1276.144</v>
      </c>
      <c r="K11" s="2011">
        <f>IFERROR('CC OM Costs'!N$34,"-")</f>
        <v>1263.559</v>
      </c>
      <c r="L11" s="2011">
        <f>IFERROR('CC OM Costs'!O$34,"-")</f>
        <v>1293.8</v>
      </c>
    </row>
    <row r="12" spans="1:13" s="399" customFormat="1" ht="15" customHeight="1" x14ac:dyDescent="0.35">
      <c r="A12" s="144" cm="1">
        <f t="array" ref="A12">MAX(($A$9:A11)+1)</f>
        <v>2</v>
      </c>
      <c r="D12" s="1933" t="s">
        <v>353</v>
      </c>
      <c r="E12" s="1752" t="s">
        <v>10</v>
      </c>
      <c r="F12" s="1753" t="str">
        <f>"["&amp;A12&amp;"]"</f>
        <v>[2]</v>
      </c>
      <c r="G12" s="1966" t="str">
        <f>Control!$D$3</f>
        <v>Control Table</v>
      </c>
      <c r="H12" s="2000">
        <f>IF(Control!$H$10=Control!$J$10,_xlfn.XLOOKUP(H$8,Control!$I$79:$M$79,Control!$I$82:$M$82),"-")</f>
        <v>9.4932909999999995E-2</v>
      </c>
      <c r="I12" s="2000">
        <f>IF(Control!$H$10=Control!$J$10,_xlfn.XLOOKUP(I$8,Control!$I$79:$M$79,Control!$I$82:$M$82),"-")</f>
        <v>9.51219175E-2</v>
      </c>
      <c r="J12" s="2000">
        <f>IF(Control!$H$10=Control!$J$10,_xlfn.XLOOKUP(J$8,Control!$I$79:$M$79,Control!$I$82:$M$82),"-")</f>
        <v>9.5187440099999993E-2</v>
      </c>
      <c r="K12" s="2000">
        <f>IF(Control!$H$10=Control!$J$10,_xlfn.XLOOKUP(K$8,Control!$I$79:$M$79,Control!$I$82:$M$82),"-")</f>
        <v>9.5187440099999993E-2</v>
      </c>
      <c r="L12" s="2000">
        <f>IF(Control!$H$10=Control!$J$10,_xlfn.XLOOKUP(L$8,Control!$I$79:$M$79,Control!$I$82:$M$82),"-")</f>
        <v>9.4806904999999997E-2</v>
      </c>
      <c r="M12" s="1385"/>
    </row>
    <row r="13" spans="1:13" s="399" customFormat="1" ht="15" customHeight="1" x14ac:dyDescent="0.35">
      <c r="A13" s="144" cm="1">
        <f t="array" ref="A13">MAX(($A$9:A12)+1)</f>
        <v>3</v>
      </c>
      <c r="D13" s="1934" t="s">
        <v>229</v>
      </c>
      <c r="E13" s="1742" t="str">
        <f>"%"</f>
        <v>%</v>
      </c>
      <c r="F13" s="1285" t="str">
        <f>"["&amp;A13&amp;"]"</f>
        <v>[3]</v>
      </c>
      <c r="G13" s="2124" t="str">
        <f>Control!$D$3</f>
        <v>Control Table</v>
      </c>
      <c r="H13" s="2001">
        <f>IF(Control!$H$10=Control!$J$10, _xlfn.XLOOKUP(H$8,Control!$I$79:$M$79,Control!$I$83:$M$83), "-")</f>
        <v>0.16952316351806235</v>
      </c>
      <c r="I13" s="2001">
        <f>IF(Control!$H$10=Control!$J$10, _xlfn.XLOOKUP(I$8,Control!$I$79:$M$79,Control!$I$83:$M$83), "-")</f>
        <v>0.16892274077349831</v>
      </c>
      <c r="J13" s="2001">
        <f>IF(Control!$H$10=Control!$J$10, _xlfn.XLOOKUP(J$8,Control!$I$79:$M$79,Control!$I$83:$M$83), "-")</f>
        <v>0.16867594984333079</v>
      </c>
      <c r="K13" s="2001">
        <f>IF(Control!$H$10=Control!$J$10, _xlfn.XLOOKUP(K$8,Control!$I$79:$M$79,Control!$I$83:$M$83), "-")</f>
        <v>0.16870911311735565</v>
      </c>
      <c r="L13" s="2001">
        <f>IF(Control!$H$10=Control!$J$10, _xlfn.XLOOKUP(L$8,Control!$I$79:$M$79,Control!$I$83:$M$83), "-")</f>
        <v>0.18790154206710236</v>
      </c>
      <c r="M13" s="1385"/>
    </row>
    <row r="14" spans="1:13" s="399" customFormat="1" ht="6" customHeight="1" x14ac:dyDescent="0.35">
      <c r="A14" s="144"/>
      <c r="D14" s="1848"/>
      <c r="E14" s="1752"/>
      <c r="F14" s="1753"/>
      <c r="G14" s="1752"/>
      <c r="H14" s="1754"/>
      <c r="I14" s="1754"/>
      <c r="J14" s="1754"/>
      <c r="K14" s="1754"/>
      <c r="L14" s="1754"/>
    </row>
    <row r="15" spans="1:13" ht="15" customHeight="1" x14ac:dyDescent="0.35">
      <c r="D15" s="1733" t="s">
        <v>231</v>
      </c>
      <c r="E15" s="1750"/>
      <c r="F15" s="1734"/>
      <c r="G15" s="1735"/>
      <c r="H15" s="1737"/>
      <c r="I15" s="1737"/>
      <c r="J15" s="1737"/>
      <c r="K15" s="1737"/>
      <c r="L15" s="1740"/>
    </row>
    <row r="16" spans="1:13" ht="15" customHeight="1" x14ac:dyDescent="0.35">
      <c r="A16" s="144" cm="1">
        <f t="array" ref="A16">MAX(($A$9:A15)+1)</f>
        <v>4</v>
      </c>
      <c r="D16" s="1732" t="s">
        <v>3</v>
      </c>
      <c r="E16" s="1742" t="s">
        <v>262</v>
      </c>
      <c r="F16" s="1285" t="str">
        <f>"["&amp;A16&amp;"]"</f>
        <v>[4]</v>
      </c>
      <c r="G16" s="1283" t="str">
        <f>Control!$D$3</f>
        <v>Control Table</v>
      </c>
      <c r="H16" s="2012">
        <f>IF(Control!$H$10=Control!$J$10, _xlfn.XLOOKUP(H$8,Control!$I$79:$M$79,Control!$I$84:$M$84),"-")</f>
        <v>1956.1033475085208</v>
      </c>
      <c r="I16" s="2012">
        <f>IF(Control!$H$10=Control!$J$10, _xlfn.XLOOKUP(I$8,Control!$I$79:$M$79,Control!$I$84:$M$84),"-")</f>
        <v>1819.6704258049774</v>
      </c>
      <c r="J16" s="2012">
        <f>IF(Control!$H$10=Control!$J$10, _xlfn.XLOOKUP(J$8,Control!$I$79:$M$79,Control!$I$84:$M$84),"-")</f>
        <v>1811.3480851208442</v>
      </c>
      <c r="K16" s="2012">
        <f>IF(Control!$H$10=Control!$J$10, _xlfn.XLOOKUP(K$8,Control!$I$79:$M$79,Control!$I$84:$M$84),"-")</f>
        <v>1864.494345084297</v>
      </c>
      <c r="L16" s="2012">
        <f>IF(Control!$H$10=Control!$J$10, _xlfn.XLOOKUP(L$8,Control!$I$79:$M$79,Control!$I$84:$M$84),"-")</f>
        <v>2133.3952203190456</v>
      </c>
    </row>
    <row r="17" spans="1:14" s="399" customFormat="1" ht="15" customHeight="1" x14ac:dyDescent="0.35">
      <c r="A17" s="144" cm="1">
        <f t="array" ref="A17">MAX(($A$9:A16)+1)</f>
        <v>5</v>
      </c>
      <c r="D17" s="990" t="s">
        <v>3</v>
      </c>
      <c r="E17" s="1752" t="s">
        <v>263</v>
      </c>
      <c r="F17" s="1287" t="str">
        <f>"["&amp;A17&amp;"]"</f>
        <v>[5]</v>
      </c>
      <c r="G17" s="1288" t="str">
        <f>F16&amp;" x 1000 / "&amp;F11</f>
        <v>[4] x 1000 / [1]</v>
      </c>
      <c r="H17" s="2013">
        <f>IF(Control!$H$10=Control!$J$10, H16*1000/H11, "-")</f>
        <v>1517.3931287354101</v>
      </c>
      <c r="I17" s="2013">
        <f>IF(Control!$H$10=Control!$J$10, I16*1000/I11, "-")</f>
        <v>1411.3674639531785</v>
      </c>
      <c r="J17" s="2013">
        <f>IF(Control!$H$10=Control!$J$10, J16*1000/J11, "-")</f>
        <v>1419.3916087219343</v>
      </c>
      <c r="K17" s="2013">
        <f>IF(Control!$H$10=Control!$J$10, K16*1000/K11, "-")</f>
        <v>1475.5894620546385</v>
      </c>
      <c r="L17" s="2013">
        <f>IF(Control!$H$10=Control!$J$10, L16*1000/L11, "-")</f>
        <v>1648.9374094288498</v>
      </c>
      <c r="M17" s="1383"/>
    </row>
    <row r="18" spans="1:14" s="399" customFormat="1" ht="6" customHeight="1" x14ac:dyDescent="0.35">
      <c r="A18" s="144"/>
      <c r="D18" s="990"/>
      <c r="E18" s="1752"/>
      <c r="F18" s="1287"/>
      <c r="G18" s="1288"/>
      <c r="H18" s="2013"/>
      <c r="I18" s="2013"/>
      <c r="J18" s="2013"/>
      <c r="K18" s="2013"/>
      <c r="L18" s="2013"/>
      <c r="M18" s="1383"/>
    </row>
    <row r="19" spans="1:14" s="399" customFormat="1" ht="15" customHeight="1" x14ac:dyDescent="0.35">
      <c r="A19" s="144" cm="1">
        <f t="array" ref="A19">MAX(($A$9:A17)+1)</f>
        <v>6</v>
      </c>
      <c r="D19" s="1732" t="s">
        <v>7</v>
      </c>
      <c r="E19" s="1742" t="s">
        <v>262</v>
      </c>
      <c r="F19" s="1285" t="str">
        <f>"["&amp;A19&amp;"]"</f>
        <v>[6]</v>
      </c>
      <c r="G19" s="1283" t="str">
        <f>Control!$D$3</f>
        <v>Control Table</v>
      </c>
      <c r="H19" s="2012">
        <f>IF(Control!$H$10=Control!$J$10,_xlfn.XLOOKUP(H$8,Control!$I$79:$M$79,Control!$I$85:$M$85),"-")</f>
        <v>2486.8390745178044</v>
      </c>
      <c r="I19" s="2012">
        <f>IF(Control!$H$10=Control!$J$10,_xlfn.XLOOKUP(I$8,Control!$I$79:$M$79,Control!$I$85:$M$85),"-")</f>
        <v>2314.4679220238454</v>
      </c>
      <c r="J19" s="2012">
        <f>IF(Control!$H$10=Control!$J$10,_xlfn.XLOOKUP(J$8,Control!$I$79:$M$79,Control!$I$85:$M$85),"-")</f>
        <v>2304.2550912587999</v>
      </c>
      <c r="K19" s="2012">
        <f>IF(Control!$H$10=Control!$J$10,_xlfn.XLOOKUP(K$8,Control!$I$79:$M$79,Control!$I$85:$M$85),"-")</f>
        <v>2371.8635984850534</v>
      </c>
      <c r="L19" s="2012">
        <f>IF(Control!$H$10=Control!$J$10,_xlfn.XLOOKUP(L$8,Control!$I$79:$M$79,Control!$I$85:$M$85),"-")</f>
        <v>2711.3910898783001</v>
      </c>
      <c r="M19" s="1383"/>
    </row>
    <row r="20" spans="1:14" s="399" customFormat="1" ht="15" customHeight="1" x14ac:dyDescent="0.35">
      <c r="A20" s="144" cm="1">
        <f t="array" ref="A20">MAX(($A$9:A19)+1)</f>
        <v>7</v>
      </c>
      <c r="D20" s="990" t="s">
        <v>7</v>
      </c>
      <c r="E20" s="1752" t="s">
        <v>263</v>
      </c>
      <c r="F20" s="1287" t="str">
        <f>"["&amp;A20&amp;"]"</f>
        <v>[7]</v>
      </c>
      <c r="G20" s="1288" t="str">
        <f>F19&amp;" x 1000 / "&amp;F11</f>
        <v>[6] x 1000 / [1]</v>
      </c>
      <c r="H20" s="2013">
        <f>IFERROR(H19*1000/H11,"-")</f>
        <v>1929.0967058311858</v>
      </c>
      <c r="I20" s="2013">
        <f>IFERROR(I19*1000/I11,"-")</f>
        <v>1795.1408536316294</v>
      </c>
      <c r="J20" s="2013">
        <f>IFERROR(J19*1000/J11,"-")</f>
        <v>1805.6387768612321</v>
      </c>
      <c r="K20" s="2013">
        <f>IFERROR(K19*1000/K11,"-")</f>
        <v>1877.1292820398996</v>
      </c>
      <c r="L20" s="2013">
        <f>IFERROR(L19*1000/L11,"-")</f>
        <v>2095.6802364185346</v>
      </c>
      <c r="M20" s="1383"/>
    </row>
    <row r="21" spans="1:14" s="399" customFormat="1" ht="6" customHeight="1" x14ac:dyDescent="0.35">
      <c r="A21" s="144"/>
      <c r="D21" s="990"/>
      <c r="E21" s="1752"/>
      <c r="F21" s="1287"/>
      <c r="G21" s="1288"/>
      <c r="H21" s="1027"/>
      <c r="I21" s="1027"/>
      <c r="J21" s="1027"/>
      <c r="K21" s="1027"/>
      <c r="L21" s="1027"/>
      <c r="M21" s="1383"/>
    </row>
    <row r="22" spans="1:14" s="399" customFormat="1" ht="15" customHeight="1" x14ac:dyDescent="0.35">
      <c r="A22" s="144" cm="1">
        <f t="array" ref="A22">MAX(($A$9:A20)+1)</f>
        <v>8</v>
      </c>
      <c r="D22" s="1732" t="s">
        <v>230</v>
      </c>
      <c r="E22" s="1742" t="s">
        <v>264</v>
      </c>
      <c r="F22" s="1285" t="str">
        <f>"["&amp;A22&amp;"]"</f>
        <v>[8]</v>
      </c>
      <c r="G22" s="1284" t="str">
        <f>F13&amp;" x "&amp;F17</f>
        <v>[3] x [5]</v>
      </c>
      <c r="H22" s="2002">
        <f>IFERROR(H$17*H$13, "-")</f>
        <v>257.23328348379715</v>
      </c>
      <c r="I22" s="2002">
        <f>IFERROR(I$17*I$13, "-")</f>
        <v>238.41206024951248</v>
      </c>
      <c r="J22" s="2002">
        <f>IFERROR(J$17*J$13, "-")</f>
        <v>239.41722780082557</v>
      </c>
      <c r="K22" s="2002">
        <f>IFERROR(K$17*K$13, "-")</f>
        <v>248.94538946855397</v>
      </c>
      <c r="L22" s="2002">
        <f>IFERROR(L$17*L$13, "-")</f>
        <v>309.83788200381383</v>
      </c>
      <c r="N22" s="1029"/>
    </row>
    <row r="23" spans="1:14" s="399" customFormat="1" ht="6" customHeight="1" x14ac:dyDescent="0.35">
      <c r="A23" s="144"/>
      <c r="D23" s="989"/>
      <c r="E23" s="1752"/>
      <c r="F23" s="1350"/>
      <c r="G23" s="1288"/>
      <c r="H23" s="2003"/>
      <c r="I23" s="2004"/>
      <c r="J23" s="2004"/>
      <c r="K23" s="2004"/>
      <c r="L23" s="2003"/>
      <c r="N23" s="1029"/>
    </row>
    <row r="24" spans="1:14" s="399" customFormat="1" ht="15" customHeight="1" x14ac:dyDescent="0.35">
      <c r="A24" s="144"/>
      <c r="D24" s="1733" t="s">
        <v>76</v>
      </c>
      <c r="E24" s="1750"/>
      <c r="F24" s="1734"/>
      <c r="G24" s="1741"/>
      <c r="H24" s="1850"/>
      <c r="I24" s="1850"/>
      <c r="J24" s="1850"/>
      <c r="K24" s="1850"/>
      <c r="L24" s="1850"/>
      <c r="N24" s="1029"/>
    </row>
    <row r="25" spans="1:14" s="399" customFormat="1" ht="15" customHeight="1" x14ac:dyDescent="0.35">
      <c r="A25" s="144" cm="1">
        <f t="array" ref="A25">MAX(($A$9:A24)+1)</f>
        <v>9</v>
      </c>
      <c r="D25" s="1732" t="s">
        <v>200</v>
      </c>
      <c r="E25" s="1742" t="s">
        <v>265</v>
      </c>
      <c r="F25" s="1285" t="str">
        <f>"["&amp;A25&amp;"]"</f>
        <v>[9]</v>
      </c>
      <c r="G25" s="1284" t="str">
        <f>Control!$D$3</f>
        <v>Control Table</v>
      </c>
      <c r="H25" s="2002">
        <f>IF(Control!$H$10=Control!$J$10, _xlfn.XLOOKUP(H$8,Control!$I$79:$M$79,Control!$I$86:$M$86), "-")</f>
        <v>44.300417993349484</v>
      </c>
      <c r="I25" s="2002">
        <f>IF(Control!$H$10=Control!$J$10, _xlfn.XLOOKUP(I$8,Control!$I$79:$M$79,Control!$I$86:$M$86), "-")</f>
        <v>73.342021721049449</v>
      </c>
      <c r="J25" s="2002">
        <f>IF(Control!$H$10=Control!$J$10, _xlfn.XLOOKUP(J$8,Control!$I$79:$M$79,Control!$I$86:$M$86), "-")</f>
        <v>65.380643227225207</v>
      </c>
      <c r="K25" s="2002">
        <f>IF(Control!$H$10=Control!$J$10, _xlfn.XLOOKUP(K$8,Control!$I$79:$M$79,Control!$I$86:$M$86), "-")</f>
        <v>51.242378484008995</v>
      </c>
      <c r="L25" s="2002">
        <f>IF(Control!$H$10=Control!$J$10, _xlfn.XLOOKUP(L$8,Control!$I$79:$M$79,Control!$I$86:$M$86), "-")</f>
        <v>42.694916725961797</v>
      </c>
      <c r="N25" s="1029"/>
    </row>
    <row r="26" spans="1:14" s="399" customFormat="1" ht="15" customHeight="1" x14ac:dyDescent="0.35">
      <c r="A26" s="144" cm="1">
        <f t="array" ref="A26">MAX(($A$9:A25)+1)</f>
        <v>10</v>
      </c>
      <c r="D26" s="990" t="s">
        <v>205</v>
      </c>
      <c r="E26" s="1752" t="s">
        <v>264</v>
      </c>
      <c r="F26" s="1287" t="str">
        <f>"["&amp;A26&amp;"]"</f>
        <v>[10]</v>
      </c>
      <c r="G26" s="1288" t="str">
        <f>Control!$D$3</f>
        <v>Control Table</v>
      </c>
      <c r="H26" s="1849">
        <f>IF(Control!$H$10=Control!$J$10, _xlfn.XLOOKUP(H$8,Control!$I$79:$M$79,Control!$I$89:$M$89), "-")</f>
        <v>40.738239237026939</v>
      </c>
      <c r="I26" s="1849">
        <f>IF(Control!$H$10=Control!$J$10, _xlfn.XLOOKUP(I$8,Control!$I$79:$M$79,Control!$I$89:$M$89), "-")</f>
        <v>60.528019853367887</v>
      </c>
      <c r="J26" s="1849">
        <f>IF(Control!$H$10=Control!$J$10, _xlfn.XLOOKUP(J$8,Control!$I$79:$M$79,Control!$I$89:$M$89), "-")</f>
        <v>57.47356915947632</v>
      </c>
      <c r="K26" s="1849">
        <f>IF(Control!$H$10=Control!$J$10, _xlfn.XLOOKUP(K$8,Control!$I$79:$M$79,Control!$I$89:$M$89), "-")</f>
        <v>48.067155587604688</v>
      </c>
      <c r="L26" s="1849">
        <f>IF(Control!$H$10=Control!$J$10, _xlfn.XLOOKUP(L$8,Control!$I$79:$M$79,Control!$I$89:$M$89), "-")</f>
        <v>38.175612716051518</v>
      </c>
      <c r="M26" s="1385"/>
      <c r="N26" s="1029"/>
    </row>
    <row r="27" spans="1:14" ht="6" customHeight="1" x14ac:dyDescent="0.35">
      <c r="D27" s="992"/>
      <c r="E27" s="1763"/>
      <c r="F27" s="1386"/>
      <c r="G27" s="1387"/>
      <c r="H27" s="2005"/>
      <c r="I27" s="2005"/>
      <c r="J27" s="2005"/>
      <c r="K27" s="2005"/>
      <c r="L27" s="2006"/>
    </row>
    <row r="28" spans="1:14" ht="6" customHeight="1" x14ac:dyDescent="0.35">
      <c r="D28" s="1748"/>
      <c r="E28" s="1764"/>
      <c r="F28" s="1745"/>
      <c r="G28" s="1749"/>
      <c r="H28" s="2007"/>
      <c r="I28" s="2007"/>
      <c r="J28" s="2007"/>
      <c r="K28" s="2007"/>
      <c r="L28" s="2008"/>
    </row>
    <row r="29" spans="1:14" ht="15" customHeight="1" x14ac:dyDescent="0.35">
      <c r="A29" s="144" cm="1">
        <f t="array" ref="A29">MAX(($A$9:A28)+1)</f>
        <v>11</v>
      </c>
      <c r="D29" s="1854" t="s">
        <v>206</v>
      </c>
      <c r="E29" s="1855" t="s">
        <v>264</v>
      </c>
      <c r="F29" s="1856" t="str">
        <f>"["&amp;A29&amp;"]"</f>
        <v>[11]</v>
      </c>
      <c r="G29" s="2141" t="str">
        <f>F22&amp;" + "&amp;F26</f>
        <v>[8] + [10]</v>
      </c>
      <c r="H29" s="2009">
        <f>IFERROR((H22+H26),"-")</f>
        <v>297.97152272082411</v>
      </c>
      <c r="I29" s="2009">
        <f>IFERROR((I22+I26),"-")</f>
        <v>298.94008010288036</v>
      </c>
      <c r="J29" s="2009">
        <f>IFERROR((J22+J26),"-")</f>
        <v>296.89079696030188</v>
      </c>
      <c r="K29" s="2009">
        <f>IFERROR((K22+K26),"-")</f>
        <v>297.01254505615867</v>
      </c>
      <c r="L29" s="2009">
        <f>IFERROR((L22+L26),"-")</f>
        <v>348.01349471986532</v>
      </c>
      <c r="M29" s="1392"/>
    </row>
    <row r="30" spans="1:14" ht="15" customHeight="1" x14ac:dyDescent="0.35">
      <c r="A30" s="144" cm="1">
        <f t="array" ref="A30">MAX(($A$9:A29)+1)</f>
        <v>12</v>
      </c>
      <c r="D30" s="1854" t="s">
        <v>206</v>
      </c>
      <c r="E30" s="1855" t="s">
        <v>484</v>
      </c>
      <c r="F30" s="1856" t="str">
        <f>"["&amp;A30&amp;"]"</f>
        <v>[12]</v>
      </c>
      <c r="G30" s="2141" t="str">
        <f>F29&amp;" x 1000/365"</f>
        <v>[11] x 1000/365</v>
      </c>
      <c r="H30" s="2010">
        <f>IFERROR(H29*1000/365,"-")</f>
        <v>816.36033622143589</v>
      </c>
      <c r="I30" s="2010">
        <f>IFERROR(I29*1000/365,"-")</f>
        <v>819.01391809008317</v>
      </c>
      <c r="J30" s="2010">
        <f>IFERROR(J29*1000/365,"-")</f>
        <v>813.39944372685443</v>
      </c>
      <c r="K30" s="2010">
        <f>IFERROR(K29*1000/365,"-")</f>
        <v>813.73300015385939</v>
      </c>
      <c r="L30" s="2010">
        <f>IFERROR(L29*1000/365,"-")</f>
        <v>953.46162936949406</v>
      </c>
      <c r="M30" s="1392"/>
    </row>
    <row r="31" spans="1:14" ht="6" customHeight="1" thickBot="1" x14ac:dyDescent="0.4">
      <c r="D31" s="1393"/>
      <c r="E31" s="1394"/>
      <c r="F31" s="1395"/>
      <c r="G31" s="1396"/>
      <c r="H31" s="1396"/>
      <c r="I31" s="1396"/>
      <c r="J31" s="1396"/>
      <c r="K31" s="1396"/>
      <c r="L31" s="1393"/>
    </row>
    <row r="32" spans="1:14" ht="6" customHeight="1" thickTop="1" x14ac:dyDescent="0.35">
      <c r="D32" s="984"/>
      <c r="E32" s="988"/>
      <c r="F32" s="1379"/>
      <c r="G32" s="988"/>
      <c r="H32" s="988"/>
      <c r="I32" s="988"/>
      <c r="J32" s="988"/>
      <c r="K32" s="988"/>
      <c r="L32" s="984"/>
    </row>
    <row r="33" spans="4:12" ht="15" customHeight="1" x14ac:dyDescent="0.35">
      <c r="D33" s="1397" t="str">
        <f>"Notes and Sources:"</f>
        <v>Notes and Sources:</v>
      </c>
      <c r="E33" s="1282"/>
      <c r="G33" s="988"/>
      <c r="H33" s="988"/>
      <c r="I33" s="988"/>
      <c r="J33" s="988"/>
      <c r="K33" s="988"/>
      <c r="L33" s="1398"/>
    </row>
    <row r="34" spans="4:12" ht="15" customHeight="1" x14ac:dyDescent="0.35">
      <c r="D34" s="46" t="s">
        <v>679</v>
      </c>
      <c r="E34" s="82"/>
      <c r="G34" s="988"/>
      <c r="H34" s="988"/>
      <c r="I34" s="988"/>
      <c r="J34" s="988"/>
      <c r="K34" s="988"/>
      <c r="L34" s="1398"/>
    </row>
    <row r="35" spans="4:12" ht="15" customHeight="1" x14ac:dyDescent="0.35">
      <c r="G35" s="985"/>
      <c r="H35" s="985"/>
      <c r="I35" s="985"/>
      <c r="J35" s="985"/>
      <c r="K35" s="985"/>
      <c r="L35" s="1399"/>
    </row>
    <row r="36" spans="4:12" ht="15" customHeight="1" x14ac:dyDescent="0.35">
      <c r="G36" s="1400"/>
      <c r="H36" s="1401"/>
      <c r="I36" s="1401"/>
      <c r="J36" s="1401"/>
      <c r="K36" s="1401"/>
      <c r="L36" s="991"/>
    </row>
    <row r="37" spans="4:12" ht="15" customHeight="1" x14ac:dyDescent="0.35">
      <c r="G37" s="1400"/>
      <c r="H37" s="1401"/>
      <c r="I37" s="1401"/>
      <c r="J37" s="1401"/>
      <c r="K37" s="1401"/>
      <c r="L37" s="991"/>
    </row>
    <row r="38" spans="4:12" ht="15" customHeight="1" x14ac:dyDescent="0.35">
      <c r="G38" s="1400"/>
      <c r="H38" s="1401"/>
      <c r="I38" s="1401"/>
      <c r="J38" s="1401"/>
      <c r="K38" s="1401"/>
      <c r="L38" s="991"/>
    </row>
    <row r="39" spans="4:12" ht="15" customHeight="1" x14ac:dyDescent="0.35">
      <c r="G39" s="1400"/>
      <c r="H39" s="1401"/>
      <c r="I39" s="1401"/>
      <c r="J39" s="1401"/>
      <c r="K39" s="1401"/>
      <c r="L39" s="991"/>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7B5E-355B-4C04-8ED9-ACF93FB42B7F}">
  <sheetPr codeName="Sheet8">
    <pageSetUpPr autoPageBreaks="0"/>
  </sheetPr>
  <dimension ref="A1:R37"/>
  <sheetViews>
    <sheetView showGridLines="0" zoomScale="70" zoomScaleNormal="70" workbookViewId="0"/>
  </sheetViews>
  <sheetFormatPr defaultRowHeight="14.5" outlineLevelRow="1" x14ac:dyDescent="0.35"/>
  <cols>
    <col min="1" max="1" width="13.54296875" style="1282" customWidth="1"/>
    <col min="2" max="3" width="13.54296875" customWidth="1"/>
    <col min="4" max="4" width="22.81640625" customWidth="1"/>
    <col min="5" max="5" width="19.54296875" style="73" bestFit="1" customWidth="1"/>
    <col min="6" max="6" width="5.54296875" style="1172" customWidth="1"/>
    <col min="7" max="7" width="15.81640625" style="1286" bestFit="1" customWidth="1"/>
    <col min="8" max="11" width="11.7265625" style="74" customWidth="1"/>
    <col min="12" max="12" width="11.7265625" customWidth="1"/>
    <col min="13" max="18" width="15.54296875" customWidth="1"/>
  </cols>
  <sheetData>
    <row r="1" spans="1:18" s="82" customFormat="1" ht="15" customHeight="1" x14ac:dyDescent="0.35">
      <c r="A1" s="1282" t="s">
        <v>275</v>
      </c>
      <c r="D1" s="401"/>
      <c r="E1" s="1769"/>
      <c r="F1" s="1282"/>
      <c r="G1" s="1375"/>
      <c r="H1" s="1374"/>
      <c r="I1" s="1374"/>
      <c r="J1" s="1374"/>
      <c r="K1" s="1374"/>
    </row>
    <row r="2" spans="1:18" s="82" customFormat="1" ht="15" customHeight="1" x14ac:dyDescent="0.35">
      <c r="A2" s="1282"/>
      <c r="D2" s="95"/>
      <c r="E2" s="1770"/>
      <c r="F2" s="144"/>
      <c r="G2" s="1375"/>
      <c r="H2" s="1374"/>
      <c r="I2" s="1374"/>
      <c r="J2" s="1374"/>
      <c r="K2" s="1374"/>
    </row>
    <row r="3" spans="1:18" s="82" customFormat="1" ht="15" customHeight="1" x14ac:dyDescent="0.35">
      <c r="A3" s="1282"/>
      <c r="D3" s="88" t="str">
        <f>LEFT(D4,FIND(":",D4)-1)</f>
        <v>Table T5</v>
      </c>
      <c r="E3" s="1769"/>
      <c r="F3" s="1282"/>
      <c r="G3" s="1375"/>
      <c r="H3" s="1374"/>
      <c r="I3" s="1374"/>
      <c r="J3" s="1374"/>
      <c r="K3" s="1374"/>
    </row>
    <row r="4" spans="1:18" s="82" customFormat="1" ht="15" customHeight="1" x14ac:dyDescent="0.45">
      <c r="A4" s="1282"/>
      <c r="D4" s="1651" t="str">
        <f>ToC!$J$12</f>
        <v>Table T5: CONE Summary for BESS Resource (Nominal$)</v>
      </c>
      <c r="E4" s="1457"/>
      <c r="F4" s="1282"/>
      <c r="G4" s="1404"/>
      <c r="H4" s="1403"/>
      <c r="I4" s="1403"/>
      <c r="J4" s="1403"/>
      <c r="K4" s="1403"/>
      <c r="L4" s="1403"/>
    </row>
    <row r="5" spans="1:18" s="82" customFormat="1" ht="6" customHeight="1" thickBot="1" x14ac:dyDescent="0.5">
      <c r="A5" s="1282"/>
      <c r="D5" s="978"/>
      <c r="E5" s="1765"/>
      <c r="F5" s="1376"/>
      <c r="G5" s="979"/>
      <c r="H5" s="979"/>
      <c r="I5" s="979"/>
      <c r="J5" s="979"/>
      <c r="K5" s="979"/>
      <c r="L5" s="980"/>
    </row>
    <row r="6" spans="1:18" s="82" customFormat="1" ht="6" customHeight="1" thickTop="1" x14ac:dyDescent="0.45">
      <c r="A6" s="1282"/>
      <c r="D6" s="981"/>
      <c r="E6" s="1766"/>
      <c r="F6" s="1377"/>
      <c r="G6" s="982"/>
      <c r="H6" s="982"/>
      <c r="I6" s="982"/>
      <c r="J6" s="982"/>
      <c r="K6" s="982"/>
      <c r="L6" s="983"/>
    </row>
    <row r="7" spans="1:18" s="82" customFormat="1" hidden="1" outlineLevel="1" x14ac:dyDescent="0.35">
      <c r="A7" s="1282"/>
      <c r="D7" s="984"/>
      <c r="E7" s="1738"/>
      <c r="F7" s="1379"/>
      <c r="G7" s="1379"/>
      <c r="H7" s="1405">
        <v>1</v>
      </c>
      <c r="I7" s="1405">
        <v>2</v>
      </c>
      <c r="J7" s="1405">
        <v>3</v>
      </c>
      <c r="K7" s="1405">
        <v>4</v>
      </c>
      <c r="L7" s="1378">
        <v>5</v>
      </c>
      <c r="R7" s="399"/>
    </row>
    <row r="8" spans="1:18" s="82" customFormat="1" ht="17.149999999999999" customHeight="1" collapsed="1" x14ac:dyDescent="0.35">
      <c r="A8" s="1282"/>
      <c r="D8" s="1975" t="s">
        <v>287</v>
      </c>
      <c r="E8" s="1992"/>
      <c r="F8" s="1977"/>
      <c r="G8" s="1977"/>
      <c r="H8" s="1380" t="s">
        <v>288</v>
      </c>
      <c r="I8" s="1380" t="s">
        <v>289</v>
      </c>
      <c r="J8" s="1380" t="s">
        <v>290</v>
      </c>
      <c r="K8" s="1380" t="s">
        <v>291</v>
      </c>
      <c r="L8" s="1467" t="s">
        <v>299</v>
      </c>
      <c r="R8" s="399"/>
    </row>
    <row r="9" spans="1:18" s="82" customFormat="1" ht="6" customHeight="1" x14ac:dyDescent="0.35">
      <c r="A9" s="1282"/>
      <c r="D9" s="984"/>
      <c r="E9" s="1738"/>
      <c r="F9" s="1379"/>
      <c r="G9" s="985"/>
      <c r="H9" s="985"/>
      <c r="I9" s="985"/>
      <c r="J9" s="985"/>
      <c r="K9" s="985"/>
      <c r="L9" s="986"/>
    </row>
    <row r="10" spans="1:18" s="399" customFormat="1" ht="6" customHeight="1" x14ac:dyDescent="0.35">
      <c r="A10" s="144"/>
      <c r="D10" s="1757"/>
      <c r="E10" s="1762"/>
      <c r="F10" s="1747"/>
      <c r="G10" s="1758"/>
      <c r="H10" s="1760"/>
      <c r="I10" s="1759"/>
      <c r="J10" s="1759"/>
      <c r="K10" s="1759"/>
      <c r="L10" s="1760"/>
      <c r="M10" s="401"/>
      <c r="N10" s="401"/>
    </row>
    <row r="11" spans="1:18" s="399" customFormat="1" ht="15" customHeight="1" x14ac:dyDescent="0.35">
      <c r="A11" s="144" cm="1">
        <f t="array" ref="A11">MAX(($A$9:A9)+1)</f>
        <v>1</v>
      </c>
      <c r="D11" s="1982" t="str">
        <f>Control!$D$42</f>
        <v>Net Summer Capacity</v>
      </c>
      <c r="E11" s="1742" t="s">
        <v>4</v>
      </c>
      <c r="F11" s="1743" t="str">
        <f>"["&amp;A11&amp;"]"</f>
        <v>[1]</v>
      </c>
      <c r="G11" s="1742" t="str">
        <f>'BESS OM Costs'!$D$3</f>
        <v>Table B4</v>
      </c>
      <c r="H11" s="1990" t="str">
        <f>IFERROR('BESS OM Costs'!K$34,"-")&amp;" "</f>
        <v xml:space="preserve">200 </v>
      </c>
      <c r="I11" s="1990" t="str">
        <f>IFERROR('BESS OM Costs'!L$34,"-")&amp;" "</f>
        <v xml:space="preserve">200 </v>
      </c>
      <c r="J11" s="1990" t="str">
        <f>IFERROR('BESS OM Costs'!M$34,"-")&amp;" "</f>
        <v xml:space="preserve">200 </v>
      </c>
      <c r="K11" s="1990" t="str">
        <f>IFERROR('BESS OM Costs'!N$34,"-")&amp;" "</f>
        <v xml:space="preserve">200 </v>
      </c>
      <c r="L11" s="1990" t="str">
        <f>IFERROR('BESS OM Costs'!O$34,"-")&amp;" "</f>
        <v xml:space="preserve">200 </v>
      </c>
      <c r="M11" s="401"/>
      <c r="N11" s="401"/>
    </row>
    <row r="12" spans="1:18" s="399" customFormat="1" ht="15" customHeight="1" x14ac:dyDescent="0.35">
      <c r="A12" s="144" cm="1">
        <f t="array" ref="A12">MAX(($A$9:A11)+1)</f>
        <v>2</v>
      </c>
      <c r="D12" s="1933" t="s">
        <v>353</v>
      </c>
      <c r="E12" s="401" t="s">
        <v>10</v>
      </c>
      <c r="F12" s="1287" t="str">
        <f>"["&amp;A12&amp;"]"</f>
        <v>[2]</v>
      </c>
      <c r="G12" s="1966" t="str">
        <f>Control!$D$3</f>
        <v>Control Table</v>
      </c>
      <c r="H12" s="1739" t="str">
        <f>IF(Control!$H$10=Control!$K$10,_xlfn.XLOOKUP(H$8,Control!$I$79:$M$79,Control!$I$82:$M$82),"-")</f>
        <v>-</v>
      </c>
      <c r="I12" s="1739" t="str">
        <f>IF(Control!$H$10=Control!$K$10,_xlfn.XLOOKUP(I$8,Control!$I$79:$M$79,Control!$I$82:$M$82),"-")</f>
        <v>-</v>
      </c>
      <c r="J12" s="1739" t="str">
        <f>IF(Control!$H$10=Control!$K$10,_xlfn.XLOOKUP(J$8,Control!$I$79:$M$79,Control!$I$82:$M$82),"-")</f>
        <v>-</v>
      </c>
      <c r="K12" s="1739" t="str">
        <f>IF(Control!$H$10=Control!$K$10,_xlfn.XLOOKUP(K$8,Control!$I$79:$M$79,Control!$I$82:$M$82),"-")</f>
        <v>-</v>
      </c>
      <c r="L12" s="1739" t="str">
        <f>IF(Control!$H$10=Control!$K$10,_xlfn.XLOOKUP(L$8,Control!$I$79:$M$79,Control!$I$82:$M$82),"-")</f>
        <v>-</v>
      </c>
      <c r="M12" s="400"/>
      <c r="N12" s="401"/>
    </row>
    <row r="13" spans="1:18" s="399" customFormat="1" ht="15" customHeight="1" x14ac:dyDescent="0.35">
      <c r="A13" s="144" cm="1">
        <f t="array" ref="A13">MAX(($A$9:A12)+1)</f>
        <v>3</v>
      </c>
      <c r="D13" s="1934" t="s">
        <v>229</v>
      </c>
      <c r="E13" s="1742" t="str">
        <f>"%"</f>
        <v>%</v>
      </c>
      <c r="F13" s="1285" t="str">
        <f>"["&amp;A13&amp;"]"</f>
        <v>[3]</v>
      </c>
      <c r="G13" s="2124" t="str">
        <f>Control!$D$3</f>
        <v>Control Table</v>
      </c>
      <c r="H13" s="1308" t="str">
        <f>IF(Control!$H$10=Control!$K$10,_xlfn.XLOOKUP(H$8,Control!$I$79:$M$79,Control!$I$83:$M$83),"-")</f>
        <v>-</v>
      </c>
      <c r="I13" s="1308" t="str">
        <f>IF(Control!$H$10=Control!$K$10,_xlfn.XLOOKUP(I$8,Control!$I$79:$M$79,Control!$I$83:$M$83),"-")</f>
        <v>-</v>
      </c>
      <c r="J13" s="1308" t="str">
        <f>IF(Control!$H$10=Control!$K$10,_xlfn.XLOOKUP(J$8,Control!$I$79:$M$79,Control!$I$83:$M$83),"-")</f>
        <v>-</v>
      </c>
      <c r="K13" s="1308" t="str">
        <f>IF(Control!$H$10=Control!$K$10,_xlfn.XLOOKUP(K$8,Control!$I$79:$M$79,Control!$I$83:$M$83),"-")</f>
        <v>-</v>
      </c>
      <c r="L13" s="1308" t="str">
        <f>IF(Control!$H$10=Control!$K$10,_xlfn.XLOOKUP(L$8,Control!$I$79:$M$79,Control!$I$83:$M$83),"-")</f>
        <v>-</v>
      </c>
      <c r="M13" s="400"/>
      <c r="N13" s="401"/>
    </row>
    <row r="14" spans="1:18" s="399" customFormat="1" ht="6" customHeight="1" x14ac:dyDescent="0.35">
      <c r="A14" s="144"/>
      <c r="D14" s="1777"/>
      <c r="E14" s="1752"/>
      <c r="F14" s="1753"/>
      <c r="G14" s="1752"/>
      <c r="H14" s="1778"/>
      <c r="I14" s="1778"/>
      <c r="J14" s="1778"/>
      <c r="K14" s="1778"/>
      <c r="L14" s="1778"/>
      <c r="M14" s="401"/>
      <c r="N14" s="401"/>
    </row>
    <row r="15" spans="1:18" s="399" customFormat="1" ht="15" customHeight="1" x14ac:dyDescent="0.35">
      <c r="A15" s="1282"/>
      <c r="D15" s="1733" t="s">
        <v>231</v>
      </c>
      <c r="E15" s="1750"/>
      <c r="F15" s="1734"/>
      <c r="G15" s="1735"/>
      <c r="H15" s="1736"/>
      <c r="I15" s="1737"/>
      <c r="J15" s="1737"/>
      <c r="K15" s="1737"/>
      <c r="L15" s="1736"/>
      <c r="M15" s="401"/>
      <c r="N15" s="401"/>
    </row>
    <row r="16" spans="1:18" s="75" customFormat="1" ht="15" customHeight="1" x14ac:dyDescent="0.35">
      <c r="A16" s="144" cm="1">
        <f t="array" ref="A16">MAX(($A$9:A15)+1)</f>
        <v>4</v>
      </c>
      <c r="D16" s="1732" t="s">
        <v>3</v>
      </c>
      <c r="E16" s="1742" t="s">
        <v>262</v>
      </c>
      <c r="F16" s="1285" t="str">
        <f>"["&amp;A16&amp;"]"</f>
        <v>[4]</v>
      </c>
      <c r="G16" s="1283" t="str">
        <f>Control!$D$3</f>
        <v>Control Table</v>
      </c>
      <c r="H16" s="951" t="str">
        <f>IF(Control!$H$10=Control!$K$10,_xlfn.XLOOKUP(H$8,Control!$I$79:$M$79,Control!$I$84:$M$84),"-")</f>
        <v>-</v>
      </c>
      <c r="I16" s="951" t="str">
        <f>IF(Control!$H$10=Control!$K$10,_xlfn.XLOOKUP(I$8,Control!$I$79:$M$79,Control!$I$84:$M$84),"-")</f>
        <v>-</v>
      </c>
      <c r="J16" s="951" t="str">
        <f>IF(Control!$H$10=Control!$K$10,_xlfn.XLOOKUP(J$8,Control!$I$79:$M$79,Control!$I$84:$M$84),"-")</f>
        <v>-</v>
      </c>
      <c r="K16" s="951" t="str">
        <f>IF(Control!$H$10=Control!$K$10,_xlfn.XLOOKUP(K$8,Control!$I$79:$M$79,Control!$I$84:$M$84),"-")</f>
        <v>-</v>
      </c>
      <c r="L16" s="951" t="str">
        <f>IF(Control!$H$10=Control!$K$10,_xlfn.XLOOKUP(L$8,Control!$I$79:$M$79,Control!$I$84:$M$84),"-")</f>
        <v>-</v>
      </c>
      <c r="M16" s="73"/>
      <c r="N16" s="73"/>
    </row>
    <row r="17" spans="1:14" s="399" customFormat="1" ht="15" customHeight="1" x14ac:dyDescent="0.35">
      <c r="A17" s="144" cm="1">
        <f t="array" ref="A17">MAX(($A$9:A16)+1)</f>
        <v>5</v>
      </c>
      <c r="D17" s="1771" t="s">
        <v>3</v>
      </c>
      <c r="E17" s="1752" t="s">
        <v>263</v>
      </c>
      <c r="F17" s="1287" t="str">
        <f>"["&amp;A17&amp;"]"</f>
        <v>[5]</v>
      </c>
      <c r="G17" s="1350" t="str">
        <f>F16&amp;" x 1000 / "&amp;F11</f>
        <v>[4] x 1000 / [1]</v>
      </c>
      <c r="H17" s="1027" t="str">
        <f>IFERROR(H16*1000/H11,"-")</f>
        <v>-</v>
      </c>
      <c r="I17" s="1027" t="str">
        <f>IFERROR(I16*1000/I11,"-")</f>
        <v>-</v>
      </c>
      <c r="J17" s="1027" t="str">
        <f>IFERROR(J16*1000/J11,"-")</f>
        <v>-</v>
      </c>
      <c r="K17" s="1027" t="str">
        <f>IFERROR(K16*1000/K11,"-")</f>
        <v>-</v>
      </c>
      <c r="L17" s="1027" t="str">
        <f>IFERROR(L16*1000/L11,"-")</f>
        <v>-</v>
      </c>
      <c r="M17" s="401"/>
      <c r="N17" s="401"/>
    </row>
    <row r="18" spans="1:14" s="75" customFormat="1" ht="6" customHeight="1" x14ac:dyDescent="0.35">
      <c r="A18" s="144"/>
      <c r="D18" s="990"/>
      <c r="E18" s="1752"/>
      <c r="F18" s="1287"/>
      <c r="G18" s="1288"/>
      <c r="H18" s="1027"/>
      <c r="I18" s="1027"/>
      <c r="J18" s="1027"/>
      <c r="K18" s="1027"/>
      <c r="L18" s="1027"/>
      <c r="M18" s="401"/>
      <c r="N18" s="73"/>
    </row>
    <row r="19" spans="1:14" s="402" customFormat="1" ht="15" customHeight="1" x14ac:dyDescent="0.35">
      <c r="A19" s="144" cm="1">
        <f t="array" ref="A19">MAX(($A$9:A17)+1)</f>
        <v>6</v>
      </c>
      <c r="D19" s="1751" t="s">
        <v>7</v>
      </c>
      <c r="E19" s="1742" t="s">
        <v>262</v>
      </c>
      <c r="F19" s="1285" t="str">
        <f>"["&amp;A19&amp;"]"</f>
        <v>[6]</v>
      </c>
      <c r="G19" s="1283" t="str">
        <f>Control!$D$3</f>
        <v>Control Table</v>
      </c>
      <c r="H19" s="951" t="str">
        <f>IF(Control!$H$10=Control!$K$10,_xlfn.XLOOKUP(H$8,Control!$I$79:$M$79,Control!$I$85:$M$85),"-")</f>
        <v>-</v>
      </c>
      <c r="I19" s="951" t="str">
        <f>IF(Control!$H$10=Control!$K$10,_xlfn.XLOOKUP(I$8,Control!$I$79:$M$79,Control!$I$85:$M$85),"-")</f>
        <v>-</v>
      </c>
      <c r="J19" s="951" t="str">
        <f>IF(Control!$H$10=Control!$K$10,_xlfn.XLOOKUP(J$8,Control!$I$79:$M$79,Control!$I$85:$M$85),"-")</f>
        <v>-</v>
      </c>
      <c r="K19" s="951" t="str">
        <f>IF(Control!$H$10=Control!$K$10,_xlfn.XLOOKUP(K$8,Control!$I$79:$M$79,Control!$I$85:$M$85),"-")</f>
        <v>-</v>
      </c>
      <c r="L19" s="951" t="str">
        <f>IF(Control!$H$10=Control!$K$10,_xlfn.XLOOKUP(L$8,Control!$I$79:$M$79,Control!$I$85:$M$85),"-")</f>
        <v>-</v>
      </c>
      <c r="M19" s="73"/>
      <c r="N19" s="403"/>
    </row>
    <row r="20" spans="1:14" s="399" customFormat="1" ht="15" customHeight="1" x14ac:dyDescent="0.35">
      <c r="A20" s="144" cm="1">
        <f t="array" ref="A20">MAX(($A$9:A19)+1)</f>
        <v>7</v>
      </c>
      <c r="D20" s="1772" t="s">
        <v>7</v>
      </c>
      <c r="E20" s="1752" t="s">
        <v>263</v>
      </c>
      <c r="F20" s="1287" t="str">
        <f>"["&amp;A20&amp;"]"</f>
        <v>[7]</v>
      </c>
      <c r="G20" s="1350" t="str">
        <f>F19&amp;" x 1000 / "&amp;F11</f>
        <v>[6] x 1000 / [1]</v>
      </c>
      <c r="H20" s="1027" t="str">
        <f>IFERROR(H19*1000/H11,"-")</f>
        <v>-</v>
      </c>
      <c r="I20" s="1027" t="str">
        <f>IFERROR(I19*1000/I11,"-")</f>
        <v>-</v>
      </c>
      <c r="J20" s="1027" t="str">
        <f>IFERROR(J19*1000/J11,"-")</f>
        <v>-</v>
      </c>
      <c r="K20" s="1027" t="str">
        <f>IFERROR(K19*1000/K11,"-")</f>
        <v>-</v>
      </c>
      <c r="L20" s="1027" t="str">
        <f>IFERROR(L19*1000/L11,"-")</f>
        <v>-</v>
      </c>
      <c r="M20" s="73"/>
      <c r="N20" s="401"/>
    </row>
    <row r="21" spans="1:14" s="399" customFormat="1" ht="6" customHeight="1" x14ac:dyDescent="0.35">
      <c r="A21" s="144"/>
      <c r="D21" s="1772"/>
      <c r="E21" s="1752"/>
      <c r="F21" s="1287"/>
      <c r="G21" s="1350"/>
      <c r="H21" s="1027"/>
      <c r="I21" s="1027"/>
      <c r="J21" s="1027"/>
      <c r="K21" s="1027"/>
      <c r="L21" s="1027"/>
      <c r="M21" s="73"/>
      <c r="N21" s="401"/>
    </row>
    <row r="22" spans="1:14" s="75" customFormat="1" ht="15" customHeight="1" x14ac:dyDescent="0.35">
      <c r="A22" s="144" cm="1">
        <f t="array" ref="A22">MAX(($A$9:A20)+1)</f>
        <v>8</v>
      </c>
      <c r="D22" s="1751" t="s">
        <v>230</v>
      </c>
      <c r="E22" s="1742" t="s">
        <v>264</v>
      </c>
      <c r="F22" s="1285" t="str">
        <f>"["&amp;A22&amp;"]"</f>
        <v>[8]</v>
      </c>
      <c r="G22" s="1284" t="str">
        <f>F13&amp;" x "&amp;F17</f>
        <v>[3] x [5]</v>
      </c>
      <c r="H22" s="1351" t="str">
        <f>IFERROR(H$13*H$17, "-")</f>
        <v>-</v>
      </c>
      <c r="I22" s="1351" t="str">
        <f>IFERROR(I$17*I$13, "-")</f>
        <v>-</v>
      </c>
      <c r="J22" s="1351" t="str">
        <f>IFERROR(J$17*J$13, "-")</f>
        <v>-</v>
      </c>
      <c r="K22" s="1351" t="str">
        <f>IFERROR(K$17*K$13, "-")</f>
        <v>-</v>
      </c>
      <c r="L22" s="1351" t="str">
        <f>IFERROR(L$17*L$13, "-")</f>
        <v>-</v>
      </c>
      <c r="M22" s="1029"/>
      <c r="N22" s="148"/>
    </row>
    <row r="23" spans="1:14" s="399" customFormat="1" ht="6" customHeight="1" x14ac:dyDescent="0.35">
      <c r="A23" s="144"/>
      <c r="D23" s="989"/>
      <c r="E23" s="1752"/>
      <c r="F23" s="1350"/>
      <c r="G23" s="1288"/>
      <c r="H23" s="1382"/>
      <c r="I23" s="1384"/>
      <c r="J23" s="1384"/>
      <c r="K23" s="1384"/>
      <c r="L23" s="1382"/>
      <c r="M23" s="401"/>
      <c r="N23" s="401"/>
    </row>
    <row r="24" spans="1:14" s="399" customFormat="1" ht="15" customHeight="1" x14ac:dyDescent="0.35">
      <c r="A24" s="144"/>
      <c r="D24" s="1733" t="s">
        <v>76</v>
      </c>
      <c r="E24" s="1750"/>
      <c r="F24" s="1734"/>
      <c r="G24" s="1735"/>
      <c r="H24" s="1736"/>
      <c r="I24" s="1737"/>
      <c r="J24" s="1737"/>
      <c r="K24" s="1737"/>
      <c r="L24" s="1736"/>
      <c r="M24" s="401"/>
      <c r="N24" s="401"/>
    </row>
    <row r="25" spans="1:14" s="75" customFormat="1" ht="15" customHeight="1" x14ac:dyDescent="0.35">
      <c r="A25" s="144" cm="1">
        <f t="array" ref="A25">MAX(($A$9:A24)+1)</f>
        <v>9</v>
      </c>
      <c r="D25" s="1732" t="s">
        <v>200</v>
      </c>
      <c r="E25" s="1742" t="s">
        <v>265</v>
      </c>
      <c r="F25" s="1285" t="str">
        <f>"["&amp;A25&amp;"]"</f>
        <v>[9]</v>
      </c>
      <c r="G25" s="1284" t="str">
        <f>Control!$D$3</f>
        <v>Control Table</v>
      </c>
      <c r="H25" s="1025" t="str">
        <f>IF(Control!$H$10=Control!$K$10,_xlfn.XLOOKUP(H$8,Control!$I$79:$M$79,Control!$I$86:$M$86),"-")</f>
        <v>-</v>
      </c>
      <c r="I25" s="1025" t="str">
        <f>IF(Control!$H$10=Control!$K$10,_xlfn.XLOOKUP(I$8,Control!$I$79:$M$79,Control!$I$86:$M$86),"-")</f>
        <v>-</v>
      </c>
      <c r="J25" s="1025" t="str">
        <f>IF(Control!$H$10=Control!$K$10,_xlfn.XLOOKUP(J$8,Control!$I$79:$M$79,Control!$I$86:$M$86),"-")</f>
        <v>-</v>
      </c>
      <c r="K25" s="1025" t="str">
        <f>IF(Control!$H$10=Control!$K$10,_xlfn.XLOOKUP(K$8,Control!$I$79:$M$79,Control!$I$86:$M$86),"-")</f>
        <v>-</v>
      </c>
      <c r="L25" s="1025" t="str">
        <f>IF(Control!$H$10=Control!$K$10,_xlfn.XLOOKUP(L$8,Control!$I$79:$M$79,Control!$I$86:$M$86),"-")</f>
        <v>-</v>
      </c>
      <c r="M25" s="401"/>
      <c r="N25" s="73"/>
    </row>
    <row r="26" spans="1:14" s="399" customFormat="1" ht="15" customHeight="1" x14ac:dyDescent="0.35">
      <c r="A26" s="144" cm="1">
        <f t="array" ref="A26">MAX(($A$9:A25)+1)</f>
        <v>10</v>
      </c>
      <c r="D26" s="990" t="s">
        <v>205</v>
      </c>
      <c r="E26" s="1752" t="s">
        <v>264</v>
      </c>
      <c r="F26" s="1287" t="str">
        <f>"["&amp;A26&amp;"]"</f>
        <v>[10]</v>
      </c>
      <c r="G26" s="1288" t="str">
        <f>Control!$D$3</f>
        <v>Control Table</v>
      </c>
      <c r="H26" s="1024" t="str">
        <f>IF(Control!$H$10=Control!$K$10,_xlfn.XLOOKUP(H$8,Control!$I$79:$M$79,Control!$I$89:$M$89)-H27,"-")</f>
        <v>-</v>
      </c>
      <c r="I26" s="1024" t="str">
        <f>IF(Control!$H$10=Control!$K$10,_xlfn.XLOOKUP(I$8,Control!$I$79:$M$79,Control!$I$89:$M$89)-I27,"-")</f>
        <v>-</v>
      </c>
      <c r="J26" s="1024" t="str">
        <f>IF(Control!$H$10=Control!$K$10,_xlfn.XLOOKUP(J$8,Control!$I$79:$M$79,Control!$I$89:$M$89)-J27,"-")</f>
        <v>-</v>
      </c>
      <c r="K26" s="1024" t="str">
        <f>IF(Control!$H$10=Control!$K$10,_xlfn.XLOOKUP(K$8,Control!$I$79:$M$79,Control!$I$89:$M$89)-K27,"-")</f>
        <v>-</v>
      </c>
      <c r="L26" s="1024" t="str">
        <f>IF(Control!$H$10=Control!$K$10,_xlfn.XLOOKUP(L$8,Control!$I$79:$M$79,Control!$I$89:$M$89)-L27,"-")</f>
        <v>-</v>
      </c>
      <c r="M26" s="1029"/>
      <c r="N26" s="401"/>
    </row>
    <row r="27" spans="1:14" s="75" customFormat="1" ht="15" customHeight="1" x14ac:dyDescent="0.35">
      <c r="A27" s="144" cm="1">
        <f t="array" ref="A27">MAX(($A$9:A26)+1)</f>
        <v>11</v>
      </c>
      <c r="D27" s="1732" t="s">
        <v>232</v>
      </c>
      <c r="E27" s="1742" t="s">
        <v>264</v>
      </c>
      <c r="F27" s="1285" t="str">
        <f>"["&amp;A27&amp;"]"</f>
        <v>[11]</v>
      </c>
      <c r="G27" s="2165" t="str">
        <f>Control!$D$3</f>
        <v>Control Table</v>
      </c>
      <c r="H27" s="1026" t="str">
        <f>IF(Control!$H$10=Control!$K$10,_xlfn.XLOOKUP(H$8,Control!$I$79:$M$79,Control!$I$93:$M$93),"-")</f>
        <v>-</v>
      </c>
      <c r="I27" s="1026" t="str">
        <f>IF(Control!$H$10=Control!$K$10,_xlfn.XLOOKUP(I$8,Control!$I$79:$M$79,Control!$I$93:$M$93),"-")</f>
        <v>-</v>
      </c>
      <c r="J27" s="1026" t="str">
        <f>IF(Control!$H$10=Control!$K$10,_xlfn.XLOOKUP(J$8,Control!$I$79:$M$79,Control!$I$93:$M$93),"-")</f>
        <v>-</v>
      </c>
      <c r="K27" s="1026" t="str">
        <f>IF(Control!$H$10=Control!$K$10,_xlfn.XLOOKUP(K$8,Control!$I$79:$M$79,Control!$I$93:$M$93),"-")</f>
        <v>-</v>
      </c>
      <c r="L27" s="1026" t="str">
        <f>IF(Control!$H$10=Control!$K$10,_xlfn.XLOOKUP(L$8,Control!$I$79:$M$79,Control!$I$93:$M$93),"-")</f>
        <v>-</v>
      </c>
      <c r="M27" s="1029"/>
      <c r="N27" s="73"/>
    </row>
    <row r="28" spans="1:14" s="399" customFormat="1" ht="6" customHeight="1" x14ac:dyDescent="0.35">
      <c r="A28" s="144"/>
      <c r="D28" s="984"/>
      <c r="E28" s="1752"/>
      <c r="F28" s="1287"/>
      <c r="G28" s="987"/>
      <c r="H28" s="1406"/>
      <c r="I28" s="1406"/>
      <c r="J28" s="1406"/>
      <c r="K28" s="1406"/>
      <c r="L28" s="1406"/>
      <c r="M28" s="400"/>
      <c r="N28" s="401"/>
    </row>
    <row r="29" spans="1:14" s="82" customFormat="1" ht="6" customHeight="1" x14ac:dyDescent="0.35">
      <c r="A29" s="144"/>
      <c r="D29" s="992"/>
      <c r="E29" s="1763"/>
      <c r="F29" s="1386"/>
      <c r="G29" s="1387"/>
      <c r="H29" s="1388"/>
      <c r="I29" s="1388"/>
      <c r="J29" s="1388"/>
      <c r="K29" s="1388"/>
      <c r="L29" s="1389"/>
    </row>
    <row r="30" spans="1:14" s="82" customFormat="1" ht="6" customHeight="1" x14ac:dyDescent="0.35">
      <c r="A30" s="1282"/>
      <c r="D30" s="984"/>
      <c r="E30" s="1752"/>
      <c r="F30" s="1287"/>
      <c r="G30" s="1350"/>
      <c r="H30" s="1390"/>
      <c r="I30" s="1390"/>
      <c r="J30" s="1390"/>
      <c r="K30" s="1390"/>
      <c r="L30" s="1391"/>
    </row>
    <row r="31" spans="1:14" ht="15" customHeight="1" x14ac:dyDescent="0.35">
      <c r="A31" s="144" cm="1">
        <f t="array" ref="A31">MAX(($A$9:A30)+1)</f>
        <v>12</v>
      </c>
      <c r="D31" s="1851" t="s">
        <v>206</v>
      </c>
      <c r="E31" s="1852" t="s">
        <v>264</v>
      </c>
      <c r="F31" s="1853" t="str">
        <f>"["&amp;A31&amp;"]"</f>
        <v>[12]</v>
      </c>
      <c r="G31" s="2142" t="str">
        <f>F22&amp;" + "&amp;F26&amp;" + "&amp;F27</f>
        <v>[8] + [10] + [11]</v>
      </c>
      <c r="H31" s="1935" t="str">
        <f>IF(Control!$H$10=Control!$K$10,(H22+H26+H27), "-")</f>
        <v>-</v>
      </c>
      <c r="I31" s="1935" t="str">
        <f>IF(Control!$H$10=Control!$K$10,(I22+I26+I27), "-")</f>
        <v>-</v>
      </c>
      <c r="J31" s="1935" t="str">
        <f>IF(Control!$H$10=Control!$K$10,(J22+J26+J27), "-")</f>
        <v>-</v>
      </c>
      <c r="K31" s="1935" t="str">
        <f>IF(Control!$H$10=Control!$K$10,(K22+K26+K27), "-")</f>
        <v>-</v>
      </c>
      <c r="L31" s="1935" t="str">
        <f>IF(Control!$H$10=Control!$K$10,(L22+L26+L27), "-")</f>
        <v>-</v>
      </c>
      <c r="M31" s="1030"/>
    </row>
    <row r="32" spans="1:14" ht="15" customHeight="1" x14ac:dyDescent="0.35">
      <c r="A32" s="144" cm="1">
        <f t="array" ref="A32">MAX(($A$9:A31)+1)</f>
        <v>13</v>
      </c>
      <c r="D32" s="1851" t="s">
        <v>206</v>
      </c>
      <c r="E32" s="1852" t="s">
        <v>484</v>
      </c>
      <c r="F32" s="1853" t="str">
        <f>"["&amp;A32&amp;"]"</f>
        <v>[13]</v>
      </c>
      <c r="G32" s="2142" t="str">
        <f>F31&amp;" x 1000 / 365"</f>
        <v>[12] x 1000 / 365</v>
      </c>
      <c r="H32" s="1936" t="str">
        <f>IFERROR(H31*1000/365,"-")</f>
        <v>-</v>
      </c>
      <c r="I32" s="1936" t="str">
        <f>IFERROR(I31*1000/365,"-")</f>
        <v>-</v>
      </c>
      <c r="J32" s="1936" t="str">
        <f>IFERROR(J31*1000/365,"-")</f>
        <v>-</v>
      </c>
      <c r="K32" s="1936" t="str">
        <f>IFERROR(K31*1000/365,"-")</f>
        <v>-</v>
      </c>
      <c r="L32" s="1936" t="str">
        <f>IFERROR(L31*1000/365,"-")</f>
        <v>-</v>
      </c>
      <c r="M32" s="398"/>
    </row>
    <row r="33" spans="1:12" s="82" customFormat="1" ht="6" customHeight="1" thickBot="1" x14ac:dyDescent="0.4">
      <c r="A33" s="1282"/>
      <c r="D33" s="1393"/>
      <c r="E33" s="1767"/>
      <c r="F33" s="1395"/>
      <c r="G33" s="1396"/>
      <c r="H33" s="1396"/>
      <c r="I33" s="1396"/>
      <c r="J33" s="1396"/>
      <c r="K33" s="1396"/>
      <c r="L33" s="1393"/>
    </row>
    <row r="34" spans="1:12" s="82" customFormat="1" ht="6" customHeight="1" thickTop="1" x14ac:dyDescent="0.35">
      <c r="A34" s="1282"/>
      <c r="D34" s="984"/>
      <c r="E34" s="1768"/>
      <c r="F34" s="1379"/>
      <c r="G34" s="988"/>
      <c r="H34" s="988"/>
      <c r="I34" s="988"/>
      <c r="J34" s="988"/>
      <c r="K34" s="988"/>
      <c r="L34" s="984"/>
    </row>
    <row r="35" spans="1:12" s="82" customFormat="1" ht="15" customHeight="1" x14ac:dyDescent="0.35">
      <c r="A35" s="1282"/>
      <c r="D35" s="1397" t="str">
        <f>"Notes and Sources:"</f>
        <v>Notes and Sources:</v>
      </c>
      <c r="E35" s="1282"/>
      <c r="F35" s="1282"/>
      <c r="G35" s="988"/>
      <c r="H35" s="988"/>
      <c r="I35" s="988"/>
      <c r="J35" s="988"/>
      <c r="K35" s="988"/>
    </row>
    <row r="36" spans="1:12" s="82" customFormat="1" ht="15" customHeight="1" x14ac:dyDescent="0.35">
      <c r="A36" s="1282"/>
      <c r="D36" s="46" t="s">
        <v>679</v>
      </c>
      <c r="F36" s="1282"/>
      <c r="G36" s="988"/>
      <c r="H36" s="988"/>
      <c r="I36" s="988"/>
      <c r="J36" s="988"/>
      <c r="K36" s="988"/>
      <c r="L36" s="1398"/>
    </row>
    <row r="37" spans="1:12" s="82" customFormat="1" ht="15" customHeight="1" x14ac:dyDescent="0.35">
      <c r="A37" s="1282"/>
      <c r="D37"/>
      <c r="E37" s="401"/>
      <c r="F37" s="1282"/>
      <c r="G37" s="1375"/>
      <c r="H37" s="1374"/>
      <c r="I37" s="1374"/>
      <c r="J37" s="1374"/>
      <c r="K37" s="1374"/>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311A-D370-4E6D-BBFA-F4D87F9655AE}">
  <sheetPr codeName="Sheet9">
    <pageSetUpPr autoPageBreaks="0"/>
  </sheetPr>
  <dimension ref="A1:AA56"/>
  <sheetViews>
    <sheetView showGridLines="0" zoomScale="70" zoomScaleNormal="70" workbookViewId="0"/>
  </sheetViews>
  <sheetFormatPr defaultColWidth="9.1796875" defaultRowHeight="15" customHeight="1" outlineLevelRow="1" outlineLevelCol="1" x14ac:dyDescent="0.35"/>
  <cols>
    <col min="1" max="3" width="13.54296875" style="1443" customWidth="1"/>
    <col min="4" max="4" width="33.453125" style="83" bestFit="1" customWidth="1"/>
    <col min="5" max="5" width="15.453125" style="83" customWidth="1"/>
    <col min="6" max="6" width="1" style="83" customWidth="1"/>
    <col min="7" max="11" width="12.81640625" style="83" customWidth="1"/>
    <col min="12" max="12" width="0.81640625" style="83" customWidth="1"/>
    <col min="13" max="17" width="12.54296875" style="83" bestFit="1" customWidth="1"/>
    <col min="18" max="19" width="9.1796875" style="83"/>
    <col min="20" max="20" width="26.54296875" style="71" hidden="1" customWidth="1" outlineLevel="1"/>
    <col min="21" max="21" width="9.1796875" style="83" collapsed="1"/>
    <col min="22" max="16384" width="9.1796875" style="83"/>
  </cols>
  <sheetData>
    <row r="1" spans="1:27" s="1414" customFormat="1" ht="15" customHeight="1" x14ac:dyDescent="0.35">
      <c r="A1" s="1636" t="s">
        <v>275</v>
      </c>
      <c r="B1" s="1637"/>
      <c r="C1" s="1637"/>
      <c r="D1" s="1638"/>
      <c r="E1" s="1638"/>
      <c r="T1" s="1639"/>
    </row>
    <row r="2" spans="1:27" s="1414" customFormat="1" ht="15" customHeight="1" x14ac:dyDescent="0.35">
      <c r="A2" s="1637"/>
      <c r="B2" s="1637"/>
      <c r="C2" s="1637"/>
      <c r="I2" s="2059"/>
      <c r="T2" s="1640"/>
    </row>
    <row r="3" spans="1:27" s="1414" customFormat="1" ht="15" customHeight="1" x14ac:dyDescent="0.35">
      <c r="A3" s="1637"/>
      <c r="B3" s="1637"/>
      <c r="C3" s="1637"/>
      <c r="D3" s="88" t="str">
        <f>LEFT(D4,FIND(":",D4)-1)</f>
        <v>Table T6</v>
      </c>
      <c r="T3" s="1641"/>
    </row>
    <row r="4" spans="1:27" ht="15" customHeight="1" x14ac:dyDescent="0.45">
      <c r="A4" s="1421"/>
      <c r="B4" s="1421"/>
      <c r="C4" s="1421"/>
      <c r="D4" s="1651" t="str">
        <f>ToC!$J$13</f>
        <v>Table T6: Capital Costs for CT Resource (Nominal$)</v>
      </c>
      <c r="E4" s="1457"/>
      <c r="F4" s="1457"/>
      <c r="G4" s="1457"/>
      <c r="H4" s="1457"/>
      <c r="I4" s="1457"/>
      <c r="J4" s="1457"/>
      <c r="K4" s="1457"/>
      <c r="L4" s="1457"/>
      <c r="M4" s="1457"/>
      <c r="N4" s="1457"/>
      <c r="O4" s="1457"/>
      <c r="P4" s="1457"/>
      <c r="Q4" s="1457"/>
      <c r="T4" s="196"/>
    </row>
    <row r="5" spans="1:27" ht="6" customHeight="1" thickBot="1" x14ac:dyDescent="0.4">
      <c r="A5" s="1421"/>
      <c r="B5" s="1421"/>
      <c r="C5" s="1421"/>
      <c r="D5" s="1422"/>
      <c r="E5" s="1422"/>
      <c r="F5" s="1422"/>
      <c r="G5" s="1422"/>
      <c r="H5" s="1422"/>
      <c r="I5" s="1422"/>
      <c r="J5" s="1422"/>
      <c r="K5" s="1422"/>
      <c r="L5" s="1422"/>
      <c r="M5" s="1422"/>
      <c r="N5" s="1422"/>
      <c r="O5" s="1422"/>
      <c r="P5" s="1422"/>
      <c r="Q5" s="1422"/>
      <c r="R5" s="1407"/>
      <c r="S5" s="1407"/>
    </row>
    <row r="6" spans="1:27" ht="6" customHeight="1" thickTop="1" x14ac:dyDescent="0.35">
      <c r="A6" s="1421"/>
      <c r="B6" s="1421"/>
      <c r="C6" s="1421"/>
      <c r="D6" s="1423"/>
      <c r="E6" s="1423"/>
      <c r="F6" s="1423"/>
      <c r="G6" s="144"/>
      <c r="H6" s="144"/>
      <c r="I6" s="144"/>
      <c r="J6" s="144"/>
      <c r="K6" s="144"/>
      <c r="L6" s="144"/>
      <c r="M6" s="144"/>
      <c r="N6" s="144"/>
      <c r="O6" s="144"/>
      <c r="P6" s="144"/>
      <c r="Q6" s="144"/>
      <c r="R6" s="1408"/>
      <c r="S6" s="1408"/>
    </row>
    <row r="7" spans="1:27" ht="14.5" x14ac:dyDescent="0.35">
      <c r="A7" s="1421"/>
      <c r="B7" s="1421"/>
      <c r="C7" s="1421"/>
      <c r="D7" s="1424" t="s">
        <v>566</v>
      </c>
      <c r="E7" s="1425" t="s">
        <v>543</v>
      </c>
      <c r="F7" s="1426"/>
      <c r="G7" s="2192" t="str">
        <f>"Current Overnight Capital Costs: "&amp;TEXT(Control!$H$18,"mm/yyyy")</f>
        <v>Current Overnight Capital Costs: 01/2025</v>
      </c>
      <c r="H7" s="2192"/>
      <c r="I7" s="2192"/>
      <c r="J7" s="2192"/>
      <c r="K7" s="2192"/>
      <c r="L7" s="1409"/>
      <c r="M7" s="2191" t="str">
        <f>"Escalated Overnight Capital Costs: "&amp;TEXT(Control!$H$19,"mm/yyyy")</f>
        <v>Escalated Overnight Capital Costs: 06/2028</v>
      </c>
      <c r="N7" s="2191"/>
      <c r="O7" s="2191"/>
      <c r="P7" s="2191"/>
      <c r="Q7" s="2191"/>
      <c r="R7" s="1409"/>
      <c r="S7" s="1409"/>
    </row>
    <row r="8" spans="1:27" ht="6" customHeight="1" x14ac:dyDescent="0.35">
      <c r="A8" s="1421"/>
      <c r="B8" s="1421"/>
      <c r="C8" s="1421"/>
      <c r="D8" s="1402"/>
      <c r="E8" s="1423"/>
      <c r="F8" s="1428"/>
      <c r="G8" s="144"/>
      <c r="H8" s="144"/>
      <c r="I8" s="144"/>
      <c r="J8" s="144"/>
      <c r="K8" s="144"/>
      <c r="L8" s="144"/>
      <c r="M8" s="144"/>
      <c r="N8" s="144"/>
      <c r="O8" s="144"/>
      <c r="P8" s="144"/>
      <c r="Q8" s="144"/>
      <c r="R8" s="1408"/>
      <c r="S8" s="1408"/>
    </row>
    <row r="9" spans="1:27" ht="15" customHeight="1" x14ac:dyDescent="0.35">
      <c r="A9" s="1421"/>
      <c r="B9" s="1421"/>
      <c r="C9" s="1421"/>
      <c r="D9" s="1402" t="s">
        <v>24</v>
      </c>
      <c r="E9" s="1094" t="s">
        <v>10</v>
      </c>
      <c r="F9" s="1428"/>
      <c r="G9" s="1423" t="s">
        <v>259</v>
      </c>
      <c r="H9" s="1423" t="s">
        <v>259</v>
      </c>
      <c r="I9" s="1423" t="s">
        <v>259</v>
      </c>
      <c r="J9" s="1423" t="s">
        <v>259</v>
      </c>
      <c r="K9" s="1423" t="s">
        <v>259</v>
      </c>
      <c r="L9" s="1423"/>
      <c r="M9" s="1423" t="str">
        <f>'CT Capital Costs'!R$27</f>
        <v>Nominal$</v>
      </c>
      <c r="N9" s="1423" t="str">
        <f>'CT Capital Costs'!S$27</f>
        <v>Nominal$</v>
      </c>
      <c r="O9" s="1423" t="str">
        <f>'CT Capital Costs'!T$27</f>
        <v>Nominal$</v>
      </c>
      <c r="P9" s="1423" t="str">
        <f>'CT Capital Costs'!U$27</f>
        <v>Nominal$</v>
      </c>
      <c r="Q9" s="1423" t="str">
        <f>'CT Capital Costs'!V$27</f>
        <v>Nominal$</v>
      </c>
      <c r="R9" s="1410"/>
      <c r="S9" s="1410"/>
    </row>
    <row r="10" spans="1:27" ht="15" hidden="1" customHeight="1" outlineLevel="1" x14ac:dyDescent="0.35">
      <c r="A10" s="1421"/>
      <c r="B10" s="1421"/>
      <c r="C10" s="1421"/>
      <c r="D10" s="1402" t="s">
        <v>287</v>
      </c>
      <c r="E10" s="1429"/>
      <c r="F10" s="1430"/>
      <c r="G10" s="1378">
        <v>1</v>
      </c>
      <c r="H10" s="1378">
        <v>2</v>
      </c>
      <c r="I10" s="1378">
        <v>3</v>
      </c>
      <c r="J10" s="1378">
        <v>4</v>
      </c>
      <c r="K10" s="1378">
        <v>5</v>
      </c>
      <c r="L10" s="1378"/>
      <c r="M10" s="1378">
        <v>1</v>
      </c>
      <c r="N10" s="1378">
        <v>2</v>
      </c>
      <c r="O10" s="1378">
        <v>3</v>
      </c>
      <c r="P10" s="1378">
        <v>4</v>
      </c>
      <c r="Q10" s="1378">
        <v>5</v>
      </c>
      <c r="R10" s="1411"/>
      <c r="S10" s="1411"/>
      <c r="T10" s="2083" t="s">
        <v>269</v>
      </c>
    </row>
    <row r="11" spans="1:27" ht="15" customHeight="1" collapsed="1" x14ac:dyDescent="0.35">
      <c r="A11" s="1421"/>
      <c r="B11" s="1421"/>
      <c r="C11" s="1421"/>
      <c r="F11" s="1431"/>
      <c r="G11" s="1380" t="s">
        <v>288</v>
      </c>
      <c r="H11" s="1380" t="s">
        <v>289</v>
      </c>
      <c r="I11" s="1380" t="s">
        <v>290</v>
      </c>
      <c r="J11" s="1380" t="s">
        <v>291</v>
      </c>
      <c r="K11" s="1380" t="s">
        <v>299</v>
      </c>
      <c r="L11" s="1381"/>
      <c r="M11" s="1380" t="s">
        <v>288</v>
      </c>
      <c r="N11" s="1380" t="s">
        <v>289</v>
      </c>
      <c r="O11" s="1380" t="s">
        <v>290</v>
      </c>
      <c r="P11" s="1380" t="s">
        <v>291</v>
      </c>
      <c r="Q11" s="1380" t="s">
        <v>299</v>
      </c>
      <c r="R11" s="1408"/>
      <c r="S11" s="1408"/>
      <c r="T11" s="2083" t="s">
        <v>269</v>
      </c>
    </row>
    <row r="12" spans="1:27" ht="15" customHeight="1" x14ac:dyDescent="0.35">
      <c r="A12" s="1421"/>
      <c r="B12" s="1421"/>
      <c r="C12" s="1421"/>
      <c r="D12" s="1402" t="str">
        <f>Control!$D$42&amp;" (MW)"</f>
        <v>Net Summer Capacity (MW)</v>
      </c>
      <c r="E12" s="1429"/>
      <c r="F12" s="1432"/>
      <c r="G12" s="1433" t="str">
        <f>IF(Control!$H$10=Control!$I$10,'CT Capital Costs'!K$36,"-")</f>
        <v>-</v>
      </c>
      <c r="H12" s="1433" t="str">
        <f>IF(Control!$H$10=Control!$I$10,'CT Capital Costs'!L$36,"-")</f>
        <v>-</v>
      </c>
      <c r="I12" s="1433" t="str">
        <f>IF(Control!$H$10=Control!$I$10,'CT Capital Costs'!M$36,"-")</f>
        <v>-</v>
      </c>
      <c r="J12" s="1433" t="str">
        <f>IF(Control!$H$10=Control!$I$10,'CT Capital Costs'!N$36,"-")</f>
        <v>-</v>
      </c>
      <c r="K12" s="1433" t="str">
        <f>IF(Control!$H$10=Control!$I$10,'CT Capital Costs'!O$36,"-")</f>
        <v>-</v>
      </c>
      <c r="L12" s="1433"/>
      <c r="M12" s="1433" t="str">
        <f>IF(Control!$H$10=Control!$I$10,'CT Capital Costs'!R$36,"-")</f>
        <v>-</v>
      </c>
      <c r="N12" s="1433" t="str">
        <f>IF(Control!$H$10=Control!$I$10,'CT Capital Costs'!S$36,"-")</f>
        <v>-</v>
      </c>
      <c r="O12" s="1433" t="str">
        <f>IF(Control!$H$10=Control!$I$10,'CT Capital Costs'!T$36,"-")</f>
        <v>-</v>
      </c>
      <c r="P12" s="1433" t="str">
        <f>IF(Control!$H$10=Control!$I$10,'CT Capital Costs'!U$36,"-")</f>
        <v>-</v>
      </c>
      <c r="Q12" s="1433" t="str">
        <f>IF(Control!$H$10=Control!$I$10,'CT Capital Costs'!V$36,"-")</f>
        <v>-</v>
      </c>
      <c r="R12" s="1412"/>
      <c r="S12" s="1412"/>
      <c r="T12" s="2083"/>
    </row>
    <row r="13" spans="1:27" ht="6" customHeight="1" x14ac:dyDescent="0.35">
      <c r="A13" s="1421"/>
      <c r="B13" s="1421"/>
      <c r="C13" s="1421"/>
      <c r="D13" s="1434"/>
      <c r="E13" s="1434"/>
      <c r="F13" s="1434"/>
      <c r="G13" s="994"/>
      <c r="H13" s="994"/>
      <c r="I13" s="994"/>
      <c r="J13" s="994"/>
      <c r="K13" s="994"/>
      <c r="L13" s="994"/>
      <c r="M13" s="994"/>
      <c r="N13" s="994"/>
      <c r="O13" s="994"/>
      <c r="P13" s="994"/>
      <c r="Q13" s="994"/>
      <c r="R13" s="1413"/>
      <c r="S13" s="1413"/>
    </row>
    <row r="14" spans="1:27" ht="6" customHeight="1" x14ac:dyDescent="0.35">
      <c r="A14" s="1421"/>
      <c r="B14" s="1421"/>
      <c r="C14" s="1421"/>
      <c r="D14" s="1435"/>
      <c r="E14" s="1435"/>
      <c r="F14" s="1435"/>
      <c r="G14" s="1381"/>
      <c r="H14" s="1381"/>
      <c r="I14" s="1381"/>
      <c r="J14" s="1381"/>
      <c r="K14" s="1381"/>
      <c r="L14" s="1381"/>
      <c r="M14" s="1381"/>
      <c r="N14" s="1381"/>
      <c r="O14" s="1381"/>
      <c r="P14" s="1381"/>
      <c r="Q14" s="1381"/>
    </row>
    <row r="15" spans="1:27" ht="15" customHeight="1" x14ac:dyDescent="0.35">
      <c r="A15" s="1421"/>
      <c r="B15" s="1421"/>
      <c r="C15" s="1421"/>
      <c r="D15" s="1654" t="s">
        <v>486</v>
      </c>
      <c r="E15" s="69"/>
      <c r="F15" s="966"/>
      <c r="G15" s="963" t="str">
        <f>IF(Control!$H$10=Control!$I$10,SUM(G17:G29),"-")</f>
        <v>-</v>
      </c>
      <c r="H15" s="963" t="str">
        <f>IF(Control!$H$10=Control!$I$10,SUM(H17:H29),"-")</f>
        <v>-</v>
      </c>
      <c r="I15" s="963" t="str">
        <f>IF(Control!$H$10=Control!$I$10,SUM(I17:I29),"-")</f>
        <v>-</v>
      </c>
      <c r="J15" s="963" t="str">
        <f>IF(Control!$H$10=Control!$I$10,SUM(J17:J29),"-")</f>
        <v>-</v>
      </c>
      <c r="K15" s="963" t="str">
        <f>IF(Control!$H$10=Control!$I$10,SUM(K17:K29),"-")</f>
        <v>-</v>
      </c>
      <c r="L15" s="967"/>
      <c r="M15" s="963" t="str">
        <f>IF(Control!$H$10=Control!$I$10,SUM(M17:M29),"-")</f>
        <v>-</v>
      </c>
      <c r="N15" s="963" t="str">
        <f>IF(Control!$H$10=Control!$I$10,SUM(N17:N29),"-")</f>
        <v>-</v>
      </c>
      <c r="O15" s="963" t="str">
        <f>IF(Control!$H$10=Control!$I$10,SUM(O17:O29),"-")</f>
        <v>-</v>
      </c>
      <c r="P15" s="963" t="str">
        <f>IF(Control!$H$10=Control!$I$10,SUM(P17:P29),"-")</f>
        <v>-</v>
      </c>
      <c r="Q15" s="963" t="str">
        <f>IF(Control!$H$10=Control!$I$10,SUM(Q17:Q29),"-")</f>
        <v>-</v>
      </c>
    </row>
    <row r="16" spans="1:27" ht="14.5" customHeight="1" x14ac:dyDescent="0.35">
      <c r="A16" s="1421"/>
      <c r="B16" s="1421"/>
      <c r="C16" s="1421"/>
      <c r="D16" s="957" t="s">
        <v>638</v>
      </c>
      <c r="E16" s="1293"/>
      <c r="F16" s="1167"/>
      <c r="G16" s="1294"/>
      <c r="H16" s="1294"/>
      <c r="I16" s="1294"/>
      <c r="J16" s="1294"/>
      <c r="K16" s="1294"/>
      <c r="L16" s="1294"/>
      <c r="M16" s="1294"/>
      <c r="N16" s="1294"/>
      <c r="O16" s="1294"/>
      <c r="P16" s="1294"/>
      <c r="Q16" s="1294"/>
      <c r="T16" s="76"/>
      <c r="U16" s="1454"/>
      <c r="X16" s="1454"/>
      <c r="Y16" s="1454"/>
      <c r="Z16" s="1454"/>
      <c r="AA16" s="1454"/>
    </row>
    <row r="17" spans="1:27" ht="15" customHeight="1" x14ac:dyDescent="0.35">
      <c r="A17" s="1421"/>
      <c r="B17" s="1421"/>
      <c r="C17" s="1421"/>
      <c r="D17" s="2087" t="str">
        <f>T17</f>
        <v>Gas Turbines</v>
      </c>
      <c r="E17" s="1888">
        <f>_xlfn.XLOOKUP(T17,'CT Capital Costs'!$D$41:$D$70,'CT Capital Costs'!$H$41:$H$70)</f>
        <v>4.5026494815916251E-3</v>
      </c>
      <c r="F17" s="1592"/>
      <c r="G17" s="1592" t="str" cm="1">
        <f t="array" ref="G17">IF(Control!$H$10=Control!$I$10, (INDEX('CT Capital Costs'!$K$41:$O$76, MATCH($T17, 'CT Capital Costs'!$D$41:$D$76, 0),G$10))/1000000, "-")</f>
        <v>-</v>
      </c>
      <c r="H17" s="1592" t="str" cm="1">
        <f t="array" ref="H17">IF(Control!$H$10=Control!$I$10, (INDEX('CT Capital Costs'!$K$41:$O$76, MATCH($T17, 'CT Capital Costs'!$D$41:$D$76, 0),H$10))/1000000, "-")</f>
        <v>-</v>
      </c>
      <c r="I17" s="1592" t="str" cm="1">
        <f t="array" ref="I17">IF(Control!$H$10=Control!$I$10, (INDEX('CT Capital Costs'!$K$41:$O$76, MATCH($T17, 'CT Capital Costs'!$D$41:$D$76, 0),I$10))/1000000, "-")</f>
        <v>-</v>
      </c>
      <c r="J17" s="1592" t="str" cm="1">
        <f t="array" ref="J17">IF(Control!$H$10=Control!$I$10, (INDEX('CT Capital Costs'!$K$41:$O$76, MATCH($T17, 'CT Capital Costs'!$D$41:$D$76, 0),J$10))/1000000, "-")</f>
        <v>-</v>
      </c>
      <c r="K17" s="1592" t="str" cm="1">
        <f t="array" ref="K17">IF(Control!$H$10=Control!$I$10, (INDEX('CT Capital Costs'!$K$41:$O$76, MATCH($T17, 'CT Capital Costs'!$D$41:$D$76, 0),K$10))/1000000, "-")</f>
        <v>-</v>
      </c>
      <c r="L17" s="1592"/>
      <c r="M17" s="1592" t="str" cm="1">
        <f t="array" ref="M17">IF(Control!$H$10=Control!$I$10, (INDEX('CT Capital Costs'!$R$41:$V$76, MATCH($T17, 'CT Capital Costs'!$D$41:$D$76, 0),M$10))/1000000, "-")</f>
        <v>-</v>
      </c>
      <c r="N17" s="1592" t="str" cm="1">
        <f t="array" ref="N17">IF(Control!$H$10=Control!$I$10, (INDEX('CT Capital Costs'!$R$41:$V$76, MATCH($T17, 'CT Capital Costs'!$D$41:$D$76, 0),N$10))/1000000, "-")</f>
        <v>-</v>
      </c>
      <c r="O17" s="1592" t="str" cm="1">
        <f t="array" ref="O17">IF(Control!$H$10=Control!$I$10, (INDEX('CT Capital Costs'!$R$41:$V$76, MATCH($T17, 'CT Capital Costs'!$D$41:$D$76, 0),O$10))/1000000, "-")</f>
        <v>-</v>
      </c>
      <c r="P17" s="1592" t="str" cm="1">
        <f t="array" ref="P17">IF(Control!$H$10=Control!$I$10, (INDEX('CT Capital Costs'!$R$41:$V$76, MATCH($T17, 'CT Capital Costs'!$D$41:$D$76, 0),P$10))/1000000, "-")</f>
        <v>-</v>
      </c>
      <c r="Q17" s="1592" t="str" cm="1">
        <f t="array" ref="Q17">IF(Control!$H$10=Control!$I$10, (INDEX('CT Capital Costs'!$R$41:$V$76, MATCH($T17, 'CT Capital Costs'!$D$41:$D$76, 0),Q$10))/1000000, "-")</f>
        <v>-</v>
      </c>
      <c r="R17" s="1414"/>
      <c r="S17" s="1414"/>
      <c r="T17" s="1022" t="str">
        <f>IFERROR('CT Capital Costs'!$D42,0)</f>
        <v>Gas Turbines</v>
      </c>
      <c r="U17" s="1454"/>
      <c r="X17" s="1454"/>
      <c r="Y17" s="1454"/>
      <c r="Z17" s="1454"/>
      <c r="AA17" s="1454"/>
    </row>
    <row r="18" spans="1:27" ht="15" customHeight="1" x14ac:dyDescent="0.35">
      <c r="A18" s="1421"/>
      <c r="B18" s="1421"/>
      <c r="C18" s="1421"/>
      <c r="D18" s="1889" t="s">
        <v>544</v>
      </c>
      <c r="E18" s="1890">
        <f>_xlfn.XLOOKUP(T18,'CT Capital Costs'!$D$41:$D$70,'CT Capital Costs'!$H$41:$H$70)</f>
        <v>4.5026494815916251E-3</v>
      </c>
      <c r="F18" s="1291"/>
      <c r="G18" s="1291" t="str" cm="1">
        <f t="array" ref="G18">IF(Control!$H$10=Control!$I$10, (INDEX('CT Capital Costs'!$K$41:$O$76, MATCH($T18, 'CT Capital Costs'!$D$41:$D$76, 0),G$10))/1000000, "-")</f>
        <v>-</v>
      </c>
      <c r="H18" s="1291" t="str" cm="1">
        <f t="array" ref="H18">IF(Control!$H$10=Control!$I$10, (INDEX('CT Capital Costs'!$K$41:$O$76, MATCH($T18, 'CT Capital Costs'!$D$41:$D$76, 0),H$10))/1000000, "-")</f>
        <v>-</v>
      </c>
      <c r="I18" s="1291" t="str" cm="1">
        <f t="array" ref="I18">IF(Control!$H$10=Control!$I$10, (INDEX('CT Capital Costs'!$K$41:$O$76, MATCH($T18, 'CT Capital Costs'!$D$41:$D$76, 0),I$10))/1000000, "-")</f>
        <v>-</v>
      </c>
      <c r="J18" s="1291" t="str" cm="1">
        <f t="array" ref="J18">IF(Control!$H$10=Control!$I$10, (INDEX('CT Capital Costs'!$K$41:$O$76, MATCH($T18, 'CT Capital Costs'!$D$41:$D$76, 0),J$10))/1000000, "-")</f>
        <v>-</v>
      </c>
      <c r="K18" s="1291" t="str" cm="1">
        <f t="array" ref="K18">IF(Control!$H$10=Control!$I$10, (INDEX('CT Capital Costs'!$K$41:$O$76, MATCH($T18, 'CT Capital Costs'!$D$41:$D$76, 0),K$10))/1000000, "-")</f>
        <v>-</v>
      </c>
      <c r="L18" s="1291"/>
      <c r="M18" s="1291" t="str" cm="1">
        <f t="array" ref="M18">IF(Control!$H$10=Control!$I$10, (INDEX('CT Capital Costs'!$R$41:$V$76, MATCH($T18, 'CT Capital Costs'!$D$41:$D$76, 0),M$10))/1000000, "-")</f>
        <v>-</v>
      </c>
      <c r="N18" s="1291" t="str" cm="1">
        <f t="array" ref="N18">IF(Control!$H$10=Control!$I$10, (INDEX('CT Capital Costs'!$R$41:$V$76, MATCH($T18, 'CT Capital Costs'!$D$41:$D$76, 0),N$10))/1000000, "-")</f>
        <v>-</v>
      </c>
      <c r="O18" s="1291" t="str" cm="1">
        <f t="array" ref="O18">IF(Control!$H$10=Control!$I$10, (INDEX('CT Capital Costs'!$R$41:$V$76, MATCH($T18, 'CT Capital Costs'!$D$41:$D$76, 0),O$10))/1000000, "-")</f>
        <v>-</v>
      </c>
      <c r="P18" s="1291" t="str" cm="1">
        <f t="array" ref="P18">IF(Control!$H$10=Control!$I$10, (INDEX('CT Capital Costs'!$R$41:$V$76, MATCH($T18, 'CT Capital Costs'!$D$41:$D$76, 0),P$10))/1000000, "-")</f>
        <v>-</v>
      </c>
      <c r="Q18" s="1291" t="str" cm="1">
        <f t="array" ref="Q18">IF(Control!$H$10=Control!$I$10, (INDEX('CT Capital Costs'!$R$41:$V$76, MATCH($T18, 'CT Capital Costs'!$D$41:$D$76, 0),Q$10))/1000000, "-")</f>
        <v>-</v>
      </c>
      <c r="R18" s="1414"/>
      <c r="S18" s="1454"/>
      <c r="T18" s="76" t="str">
        <f>IFERROR('CT Capital Costs'!$D43,0)</f>
        <v>HRSG / SCR</v>
      </c>
      <c r="U18" s="1454"/>
      <c r="X18" s="1454"/>
      <c r="Y18" s="1454"/>
      <c r="Z18" s="1454"/>
      <c r="AA18" s="1454"/>
    </row>
    <row r="19" spans="1:27" ht="15" customHeight="1" x14ac:dyDescent="0.35">
      <c r="A19" s="1421"/>
      <c r="B19" s="1421"/>
      <c r="C19" s="1421"/>
      <c r="D19" s="2087" t="str">
        <f>T19</f>
        <v>Sales Tax</v>
      </c>
      <c r="E19" s="1891"/>
      <c r="F19" s="1892"/>
      <c r="G19" s="1892" t="str" cm="1">
        <f t="array" ref="G19">IF(Control!$H$10=Control!$I$10, (INDEX('CT Capital Costs'!$K$41:$O$76, MATCH($T19, 'CT Capital Costs'!$D$41:$D$76, 0),G$10))/1000000, "-")</f>
        <v>-</v>
      </c>
      <c r="H19" s="1892" t="str" cm="1">
        <f t="array" ref="H19">IF(Control!$H$10=Control!$I$10, (INDEX('CT Capital Costs'!$K$41:$O$76, MATCH($T19, 'CT Capital Costs'!$D$41:$D$76, 0),H$10))/1000000, "-")</f>
        <v>-</v>
      </c>
      <c r="I19" s="1892" t="str" cm="1">
        <f t="array" ref="I19">IF(Control!$H$10=Control!$I$10, (INDEX('CT Capital Costs'!$K$41:$O$76, MATCH($T19, 'CT Capital Costs'!$D$41:$D$76, 0),I$10))/1000000, "-")</f>
        <v>-</v>
      </c>
      <c r="J19" s="1892" t="str" cm="1">
        <f t="array" ref="J19">IF(Control!$H$10=Control!$I$10, (INDEX('CT Capital Costs'!$K$41:$O$76, MATCH($T19, 'CT Capital Costs'!$D$41:$D$76, 0),J$10))/1000000, "-")</f>
        <v>-</v>
      </c>
      <c r="K19" s="1892" t="str" cm="1">
        <f t="array" ref="K19">IF(Control!$H$10=Control!$I$10, (INDEX('CT Capital Costs'!$K$41:$O$76, MATCH($T19, 'CT Capital Costs'!$D$41:$D$76, 0),K$10))/1000000, "-")</f>
        <v>-</v>
      </c>
      <c r="L19" s="1892"/>
      <c r="M19" s="1892" t="str" cm="1">
        <f t="array" ref="M19">IF(Control!$H$10=Control!$I$10, (INDEX('CT Capital Costs'!$R$41:$V$76, MATCH($T19, 'CT Capital Costs'!$D$41:$D$76, 0),M$10))/1000000, "-")</f>
        <v>-</v>
      </c>
      <c r="N19" s="1892" t="str" cm="1">
        <f t="array" ref="N19">IF(Control!$H$10=Control!$I$10, (INDEX('CT Capital Costs'!$R$41:$V$76, MATCH($T19, 'CT Capital Costs'!$D$41:$D$76, 0),N$10))/1000000, "-")</f>
        <v>-</v>
      </c>
      <c r="O19" s="1892" t="str" cm="1">
        <f t="array" ref="O19">IF(Control!$H$10=Control!$I$10, (INDEX('CT Capital Costs'!$R$41:$V$76, MATCH($T19, 'CT Capital Costs'!$D$41:$D$76, 0),O$10))/1000000, "-")</f>
        <v>-</v>
      </c>
      <c r="P19" s="1892" t="str" cm="1">
        <f t="array" ref="P19">IF(Control!$H$10=Control!$I$10, (INDEX('CT Capital Costs'!$R$41:$V$76, MATCH($T19, 'CT Capital Costs'!$D$41:$D$76, 0),P$10))/1000000, "-")</f>
        <v>-</v>
      </c>
      <c r="Q19" s="1892" t="str" cm="1">
        <f t="array" ref="Q19">IF(Control!$H$10=Control!$I$10, (INDEX('CT Capital Costs'!$R$41:$V$76, MATCH($T19, 'CT Capital Costs'!$D$41:$D$76, 0),Q$10))/1000000, "-")</f>
        <v>-</v>
      </c>
      <c r="T19" s="76" t="str">
        <f>IFERROR('CT Capital Costs'!$D44,0)</f>
        <v>Sales Tax</v>
      </c>
      <c r="U19" s="1454"/>
      <c r="X19" s="1454"/>
      <c r="Y19" s="1454"/>
      <c r="Z19" s="1454"/>
      <c r="AA19" s="1454"/>
    </row>
    <row r="20" spans="1:27" ht="6" customHeight="1" x14ac:dyDescent="0.35">
      <c r="A20" s="1437"/>
      <c r="B20" s="1437"/>
      <c r="C20" s="1437"/>
      <c r="D20" s="1960"/>
      <c r="E20" s="1961"/>
      <c r="F20" s="1962"/>
      <c r="G20" s="1962"/>
      <c r="H20" s="1962"/>
      <c r="I20" s="1962"/>
      <c r="J20" s="1962"/>
      <c r="K20" s="1962"/>
      <c r="L20" s="1962"/>
      <c r="M20" s="1962"/>
      <c r="N20" s="1962"/>
      <c r="O20" s="1962"/>
      <c r="P20" s="1962"/>
      <c r="Q20" s="1962"/>
      <c r="R20" s="1415"/>
      <c r="S20" s="1415"/>
      <c r="T20" s="1963"/>
      <c r="U20" s="1455"/>
      <c r="V20" s="1415"/>
      <c r="W20" s="1415"/>
      <c r="X20" s="1455"/>
      <c r="Y20" s="1455"/>
      <c r="Z20" s="1455"/>
      <c r="AA20" s="1455"/>
    </row>
    <row r="21" spans="1:27" ht="15" customHeight="1" x14ac:dyDescent="0.35">
      <c r="A21" s="1421"/>
      <c r="B21" s="1421"/>
      <c r="C21" s="1421"/>
      <c r="D21" s="957" t="s">
        <v>656</v>
      </c>
      <c r="E21" s="959"/>
      <c r="F21" s="949"/>
      <c r="G21" s="949"/>
      <c r="H21" s="949"/>
      <c r="I21" s="949"/>
      <c r="J21" s="949"/>
      <c r="K21" s="949"/>
      <c r="L21" s="949"/>
      <c r="M21" s="949"/>
      <c r="N21" s="949"/>
      <c r="O21" s="949"/>
      <c r="P21" s="949"/>
      <c r="Q21" s="949"/>
      <c r="T21" s="76"/>
      <c r="U21" s="1454"/>
      <c r="X21" s="1454"/>
      <c r="Y21" s="1454"/>
      <c r="Z21" s="1454"/>
      <c r="AA21" s="1454"/>
    </row>
    <row r="22" spans="1:27" ht="15" customHeight="1" x14ac:dyDescent="0.35">
      <c r="A22" s="1421"/>
      <c r="B22" s="1421"/>
      <c r="C22" s="1421"/>
      <c r="D22" s="189" t="s">
        <v>101</v>
      </c>
      <c r="E22" s="1885"/>
      <c r="F22" s="1592"/>
      <c r="G22" s="1592"/>
      <c r="H22" s="1592"/>
      <c r="I22" s="1592"/>
      <c r="J22" s="1592"/>
      <c r="K22" s="1592"/>
      <c r="L22" s="1592"/>
      <c r="M22" s="1592"/>
      <c r="N22" s="1592"/>
      <c r="O22" s="1592"/>
      <c r="P22" s="1592"/>
      <c r="Q22" s="1592"/>
      <c r="T22" s="1169"/>
      <c r="U22" s="1454"/>
      <c r="X22" s="1454"/>
      <c r="Y22" s="1454"/>
      <c r="Z22" s="1454"/>
      <c r="AA22" s="1454"/>
    </row>
    <row r="23" spans="1:27" ht="15" customHeight="1" x14ac:dyDescent="0.35">
      <c r="A23" s="1421"/>
      <c r="B23" s="1421"/>
      <c r="C23" s="1421"/>
      <c r="D23" s="1886" t="str">
        <f t="shared" ref="D23:D29" si="0">T23</f>
        <v>Other Equipment</v>
      </c>
      <c r="E23" s="1884">
        <f>_xlfn.XLOOKUP(T23,'CT Capital Costs'!$D$41:$D$70,'CT Capital Costs'!$H$41:$H$70)</f>
        <v>4.5026494815916251E-3</v>
      </c>
      <c r="F23" s="1291"/>
      <c r="G23" s="1291" t="str" cm="1">
        <f t="array" ref="G23">IF(Control!$H$10=Control!$I$10, (INDEX('CT Capital Costs'!$K$41:$O$76, MATCH($T23, 'CT Capital Costs'!$D$41:$D$76, 0),G$10))/1000000, "-")</f>
        <v>-</v>
      </c>
      <c r="H23" s="1291" t="str" cm="1">
        <f t="array" ref="H23">IF(Control!$H$10=Control!$I$10, (INDEX('CT Capital Costs'!$K$41:$O$76, MATCH($T23, 'CT Capital Costs'!$D$41:$D$76, 0),H$10))/1000000, "-")</f>
        <v>-</v>
      </c>
      <c r="I23" s="1291" t="str" cm="1">
        <f t="array" ref="I23">IF(Control!$H$10=Control!$I$10, (INDEX('CT Capital Costs'!$K$41:$O$76, MATCH($T23, 'CT Capital Costs'!$D$41:$D$76, 0),I$10))/1000000, "-")</f>
        <v>-</v>
      </c>
      <c r="J23" s="1291" t="str" cm="1">
        <f t="array" ref="J23">IF(Control!$H$10=Control!$I$10, (INDEX('CT Capital Costs'!$K$41:$O$76, MATCH($T23, 'CT Capital Costs'!$D$41:$D$76, 0),J$10))/1000000, "-")</f>
        <v>-</v>
      </c>
      <c r="K23" s="1291" t="str" cm="1">
        <f t="array" ref="K23">IF(Control!$H$10=Control!$I$10, (INDEX('CT Capital Costs'!$K$41:$O$76, MATCH($T23, 'CT Capital Costs'!$D$41:$D$76, 0),K$10))/1000000, "-")</f>
        <v>-</v>
      </c>
      <c r="L23" s="1291"/>
      <c r="M23" s="1291" t="str" cm="1">
        <f t="array" ref="M23">IF(Control!$H$10=Control!$I$10, (INDEX('CT Capital Costs'!$R$47:$V$76, MATCH($T23, 'CT Capital Costs'!$D$47:$D$76, 0),M$10))/1000000, "-")</f>
        <v>-</v>
      </c>
      <c r="N23" s="1291" t="str" cm="1">
        <f t="array" ref="N23">IF(Control!$H$10=Control!$I$10, (INDEX('CT Capital Costs'!$R$47:$V$76, MATCH($T23, 'CT Capital Costs'!$D$47:$D$76, 0),N$10))/1000000, "-")</f>
        <v>-</v>
      </c>
      <c r="O23" s="1291" t="str" cm="1">
        <f t="array" ref="O23">IF(Control!$H$10=Control!$I$10, (INDEX('CT Capital Costs'!$R$47:$V$76, MATCH($T23, 'CT Capital Costs'!$D$47:$D$76, 0),O$10))/1000000, "-")</f>
        <v>-</v>
      </c>
      <c r="P23" s="1291" t="str" cm="1">
        <f t="array" ref="P23">IF(Control!$H$10=Control!$I$10, (INDEX('CT Capital Costs'!$R$47:$V$76, MATCH($T23, 'CT Capital Costs'!$D$47:$D$76, 0),P$10))/1000000, "-")</f>
        <v>-</v>
      </c>
      <c r="Q23" s="1291" t="str" cm="1">
        <f t="array" ref="Q23">IF(Control!$H$10=Control!$I$10, (INDEX('CT Capital Costs'!$R$47:$V$76, MATCH($T23, 'CT Capital Costs'!$D$47:$D$76, 0),Q$10))/1000000, "-")</f>
        <v>-</v>
      </c>
      <c r="T23" s="76" t="str">
        <f>IFERROR('CT Capital Costs'!$D48,0)</f>
        <v>Other Equipment</v>
      </c>
      <c r="U23" s="1454"/>
      <c r="X23" s="1454"/>
      <c r="Y23" s="1454"/>
      <c r="Z23" s="1454"/>
      <c r="AA23" s="1454"/>
    </row>
    <row r="24" spans="1:27" ht="15" customHeight="1" x14ac:dyDescent="0.35">
      <c r="A24" s="1421"/>
      <c r="B24" s="1421"/>
      <c r="C24" s="1421"/>
      <c r="D24" s="189" t="str">
        <f t="shared" si="0"/>
        <v>Construction Labor</v>
      </c>
      <c r="E24" s="1885">
        <f>_xlfn.XLOOKUP(T24,'CT Capital Costs'!$D$41:$D$70,'CT Capital Costs'!$H$41:$H$70)</f>
        <v>2.732183657242615E-2</v>
      </c>
      <c r="F24" s="1592"/>
      <c r="G24" s="1592" t="str" cm="1">
        <f t="array" ref="G24">IF(Control!$H$10=Control!$I$10, (INDEX('CT Capital Costs'!$K$41:$O$76, MATCH($T24, 'CT Capital Costs'!$D$41:$D$76, 0),G$10))/1000000, "-")</f>
        <v>-</v>
      </c>
      <c r="H24" s="1592" t="str" cm="1">
        <f t="array" ref="H24">IF(Control!$H$10=Control!$I$10, (INDEX('CT Capital Costs'!$K$41:$O$76, MATCH($T24, 'CT Capital Costs'!$D$41:$D$76, 0),H$10))/1000000, "-")</f>
        <v>-</v>
      </c>
      <c r="I24" s="1592" t="str" cm="1">
        <f t="array" ref="I24">IF(Control!$H$10=Control!$I$10, (INDEX('CT Capital Costs'!$K$41:$O$76, MATCH($T24, 'CT Capital Costs'!$D$41:$D$76, 0),I$10))/1000000, "-")</f>
        <v>-</v>
      </c>
      <c r="J24" s="1592" t="str" cm="1">
        <f t="array" ref="J24">IF(Control!$H$10=Control!$I$10, (INDEX('CT Capital Costs'!$K$41:$O$76, MATCH($T24, 'CT Capital Costs'!$D$41:$D$76, 0),J$10))/1000000, "-")</f>
        <v>-</v>
      </c>
      <c r="K24" s="1592" t="str" cm="1">
        <f t="array" ref="K24">IF(Control!$H$10=Control!$I$10, (INDEX('CT Capital Costs'!$K$41:$O$76, MATCH($T24, 'CT Capital Costs'!$D$41:$D$76, 0),K$10))/1000000, "-")</f>
        <v>-</v>
      </c>
      <c r="L24" s="1592"/>
      <c r="M24" s="1592" t="str" cm="1">
        <f t="array" ref="M24">IF(Control!$H$10=Control!$I$10, (INDEX('CT Capital Costs'!$R$47:$V$76, MATCH($T24, 'CT Capital Costs'!$D$47:$D$76, 0),M$10))/1000000, "-")</f>
        <v>-</v>
      </c>
      <c r="N24" s="1592" t="str" cm="1">
        <f t="array" ref="N24">IF(Control!$H$10=Control!$I$10, (INDEX('CT Capital Costs'!$R$47:$V$76, MATCH($T24, 'CT Capital Costs'!$D$47:$D$76, 0),N$10))/1000000, "-")</f>
        <v>-</v>
      </c>
      <c r="O24" s="1592" t="str" cm="1">
        <f t="array" ref="O24">IF(Control!$H$10=Control!$I$10, (INDEX('CT Capital Costs'!$R$47:$V$76, MATCH($T24, 'CT Capital Costs'!$D$47:$D$76, 0),O$10))/1000000, "-")</f>
        <v>-</v>
      </c>
      <c r="P24" s="1592" t="str" cm="1">
        <f t="array" ref="P24">IF(Control!$H$10=Control!$I$10, (INDEX('CT Capital Costs'!$R$47:$V$76, MATCH($T24, 'CT Capital Costs'!$D$47:$D$76, 0),P$10))/1000000, "-")</f>
        <v>-</v>
      </c>
      <c r="Q24" s="1592" t="str" cm="1">
        <f t="array" ref="Q24">IF(Control!$H$10=Control!$I$10, (INDEX('CT Capital Costs'!$R$47:$V$76, MATCH($T24, 'CT Capital Costs'!$D$47:$D$76, 0),Q$10))/1000000, "-")</f>
        <v>-</v>
      </c>
      <c r="R24" s="1414"/>
      <c r="S24" s="1454"/>
      <c r="T24" s="76" t="str">
        <f>IFERROR('CT Capital Costs'!$D49,0)</f>
        <v>Construction Labor</v>
      </c>
      <c r="U24" s="1454"/>
      <c r="X24" s="1454"/>
      <c r="Y24" s="1454"/>
      <c r="Z24" s="1454"/>
      <c r="AA24" s="1454"/>
    </row>
    <row r="25" spans="1:27" ht="15" customHeight="1" x14ac:dyDescent="0.35">
      <c r="A25" s="1421"/>
      <c r="B25" s="1421"/>
      <c r="C25" s="1421"/>
      <c r="D25" s="1887" t="str">
        <f t="shared" si="0"/>
        <v xml:space="preserve">Other Labor </v>
      </c>
      <c r="E25" s="1884">
        <f>_xlfn.XLOOKUP(T25,'CT Capital Costs'!$D$41:$D$70,'CT Capital Costs'!$H$41:$H$70)</f>
        <v>2.732183657242615E-2</v>
      </c>
      <c r="F25" s="1291"/>
      <c r="G25" s="1291" t="str" cm="1">
        <f t="array" ref="G25">IF(Control!$H$10=Control!$I$10, (INDEX('CT Capital Costs'!$K$41:$O$76, MATCH($T25, 'CT Capital Costs'!$D$41:$D$76, 0),G$10))/1000000, "-")</f>
        <v>-</v>
      </c>
      <c r="H25" s="1291" t="str" cm="1">
        <f t="array" ref="H25">IF(Control!$H$10=Control!$I$10, (INDEX('CT Capital Costs'!$K$41:$O$76, MATCH($T25, 'CT Capital Costs'!$D$41:$D$76, 0),H$10))/1000000, "-")</f>
        <v>-</v>
      </c>
      <c r="I25" s="1291" t="str" cm="1">
        <f t="array" ref="I25">IF(Control!$H$10=Control!$I$10, (INDEX('CT Capital Costs'!$K$41:$O$76, MATCH($T25, 'CT Capital Costs'!$D$41:$D$76, 0),I$10))/1000000, "-")</f>
        <v>-</v>
      </c>
      <c r="J25" s="1291" t="str" cm="1">
        <f t="array" ref="J25">IF(Control!$H$10=Control!$I$10, (INDEX('CT Capital Costs'!$K$41:$O$76, MATCH($T25, 'CT Capital Costs'!$D$41:$D$76, 0),J$10))/1000000, "-")</f>
        <v>-</v>
      </c>
      <c r="K25" s="1291" t="str" cm="1">
        <f t="array" ref="K25">IF(Control!$H$10=Control!$I$10, (INDEX('CT Capital Costs'!$K$41:$O$76, MATCH($T25, 'CT Capital Costs'!$D$41:$D$76, 0),K$10))/1000000, "-")</f>
        <v>-</v>
      </c>
      <c r="L25" s="1291"/>
      <c r="M25" s="1291" t="str" cm="1">
        <f t="array" ref="M25">IF(Control!$H$10=Control!$I$10, (INDEX('CT Capital Costs'!$R$47:$V$76, MATCH($T25, 'CT Capital Costs'!$D$47:$D$76, 0),M$10))/1000000, "-")</f>
        <v>-</v>
      </c>
      <c r="N25" s="1291" t="str" cm="1">
        <f t="array" ref="N25">IF(Control!$H$10=Control!$I$10, (INDEX('CT Capital Costs'!$R$47:$V$76, MATCH($T25, 'CT Capital Costs'!$D$47:$D$76, 0),N$10))/1000000, "-")</f>
        <v>-</v>
      </c>
      <c r="O25" s="1291" t="str" cm="1">
        <f t="array" ref="O25">IF(Control!$H$10=Control!$I$10, (INDEX('CT Capital Costs'!$R$47:$V$76, MATCH($T25, 'CT Capital Costs'!$D$47:$D$76, 0),O$10))/1000000, "-")</f>
        <v>-</v>
      </c>
      <c r="P25" s="1291" t="str" cm="1">
        <f t="array" ref="P25">IF(Control!$H$10=Control!$I$10, (INDEX('CT Capital Costs'!$R$47:$V$76, MATCH($T25, 'CT Capital Costs'!$D$47:$D$76, 0),P$10))/1000000, "-")</f>
        <v>-</v>
      </c>
      <c r="Q25" s="1291" t="str" cm="1">
        <f t="array" ref="Q25">IF(Control!$H$10=Control!$I$10, (INDEX('CT Capital Costs'!$R$47:$V$76, MATCH($T25, 'CT Capital Costs'!$D$47:$D$76, 0),Q$10))/1000000, "-")</f>
        <v>-</v>
      </c>
      <c r="S25" s="1454"/>
      <c r="T25" s="76" t="str">
        <f>IFERROR('CT Capital Costs'!$D50,0)</f>
        <v xml:space="preserve">Other Labor </v>
      </c>
      <c r="U25" s="1454"/>
      <c r="X25" s="1454"/>
      <c r="Y25" s="1454"/>
      <c r="Z25" s="1454"/>
      <c r="AA25" s="1454"/>
    </row>
    <row r="26" spans="1:27" ht="15" customHeight="1" x14ac:dyDescent="0.35">
      <c r="A26" s="1421"/>
      <c r="B26" s="1421"/>
      <c r="C26" s="1421"/>
      <c r="D26" s="189" t="str">
        <f t="shared" si="0"/>
        <v>Materials</v>
      </c>
      <c r="E26" s="1885">
        <f>_xlfn.XLOOKUP(T26,'CT Capital Costs'!$D$41:$D$70,'CT Capital Costs'!$H$41:$H$70)</f>
        <v>2.732183657242615E-2</v>
      </c>
      <c r="F26" s="1592"/>
      <c r="G26" s="1592" t="str" cm="1">
        <f t="array" ref="G26">IF(Control!$H$10=Control!$I$10, (INDEX('CT Capital Costs'!$K$41:$O$76, MATCH($T26, 'CT Capital Costs'!$D$41:$D$76, 0),G$10))/1000000, "-")</f>
        <v>-</v>
      </c>
      <c r="H26" s="1592" t="str" cm="1">
        <f t="array" ref="H26">IF(Control!$H$10=Control!$I$10, (INDEX('CT Capital Costs'!$K$41:$O$76, MATCH($T26, 'CT Capital Costs'!$D$41:$D$76, 0),H$10))/1000000, "-")</f>
        <v>-</v>
      </c>
      <c r="I26" s="1592" t="str" cm="1">
        <f t="array" ref="I26">IF(Control!$H$10=Control!$I$10, (INDEX('CT Capital Costs'!$K$41:$O$76, MATCH($T26, 'CT Capital Costs'!$D$41:$D$76, 0),I$10))/1000000, "-")</f>
        <v>-</v>
      </c>
      <c r="J26" s="1592" t="str" cm="1">
        <f t="array" ref="J26">IF(Control!$H$10=Control!$I$10, (INDEX('CT Capital Costs'!$K$41:$O$76, MATCH($T26, 'CT Capital Costs'!$D$41:$D$76, 0),J$10))/1000000, "-")</f>
        <v>-</v>
      </c>
      <c r="K26" s="1592" t="str" cm="1">
        <f t="array" ref="K26">IF(Control!$H$10=Control!$I$10, (INDEX('CT Capital Costs'!$K$41:$O$76, MATCH($T26, 'CT Capital Costs'!$D$41:$D$76, 0),K$10))/1000000, "-")</f>
        <v>-</v>
      </c>
      <c r="L26" s="1592"/>
      <c r="M26" s="1592" t="str" cm="1">
        <f t="array" ref="M26">IF(Control!$H$10=Control!$I$10, (INDEX('CT Capital Costs'!$R$47:$V$76, MATCH($T26, 'CT Capital Costs'!$D$47:$D$76, 0),M$10))/1000000, "-")</f>
        <v>-</v>
      </c>
      <c r="N26" s="1592" t="str" cm="1">
        <f t="array" ref="N26">IF(Control!$H$10=Control!$I$10, (INDEX('CT Capital Costs'!$R$47:$V$76, MATCH($T26, 'CT Capital Costs'!$D$47:$D$76, 0),N$10))/1000000, "-")</f>
        <v>-</v>
      </c>
      <c r="O26" s="1592" t="str" cm="1">
        <f t="array" ref="O26">IF(Control!$H$10=Control!$I$10, (INDEX('CT Capital Costs'!$R$47:$V$76, MATCH($T26, 'CT Capital Costs'!$D$47:$D$76, 0),O$10))/1000000, "-")</f>
        <v>-</v>
      </c>
      <c r="P26" s="1592" t="str" cm="1">
        <f t="array" ref="P26">IF(Control!$H$10=Control!$I$10, (INDEX('CT Capital Costs'!$R$47:$V$76, MATCH($T26, 'CT Capital Costs'!$D$47:$D$76, 0),P$10))/1000000, "-")</f>
        <v>-</v>
      </c>
      <c r="Q26" s="1592" t="str" cm="1">
        <f t="array" ref="Q26">IF(Control!$H$10=Control!$I$10, (INDEX('CT Capital Costs'!$R$47:$V$76, MATCH($T26, 'CT Capital Costs'!$D$47:$D$76, 0),Q$10))/1000000, "-")</f>
        <v>-</v>
      </c>
      <c r="T26" s="76" t="str">
        <f>IFERROR('CT Capital Costs'!$D51,0)</f>
        <v>Materials</v>
      </c>
      <c r="U26" s="1454"/>
      <c r="X26" s="1454"/>
      <c r="Y26" s="1454"/>
      <c r="Z26" s="1454"/>
      <c r="AA26" s="1454"/>
    </row>
    <row r="27" spans="1:27" ht="15" customHeight="1" x14ac:dyDescent="0.35">
      <c r="A27" s="1421"/>
      <c r="B27" s="1421"/>
      <c r="C27" s="1421"/>
      <c r="D27" s="1887" t="str">
        <f t="shared" si="0"/>
        <v>Sales Tax</v>
      </c>
      <c r="E27" s="1884" t="str">
        <f>_xlfn.XLOOKUP(T27,'CT Capital Costs'!$D$41:$D$70,'CT Capital Costs'!$H$41:$H$70)</f>
        <v/>
      </c>
      <c r="F27" s="1291"/>
      <c r="G27" s="1291" t="str" cm="1">
        <f t="array" ref="G27">IF(Control!$H$10=Control!$I$10, (INDEX('CT Capital Costs'!$K$41:$O$76, MATCH($T27, 'CT Capital Costs'!$D$41:$D$76, 0),G$10))/1000000, "-")</f>
        <v>-</v>
      </c>
      <c r="H27" s="1291" t="str" cm="1">
        <f t="array" ref="H27">IF(Control!$H$10=Control!$I$10, (INDEX('CT Capital Costs'!$K$41:$O$76, MATCH($T27, 'CT Capital Costs'!$D$41:$D$76, 0),H$10))/1000000, "-")</f>
        <v>-</v>
      </c>
      <c r="I27" s="1291" t="str" cm="1">
        <f t="array" ref="I27">IF(Control!$H$10=Control!$I$10, (INDEX('CT Capital Costs'!$K$41:$O$76, MATCH($T27, 'CT Capital Costs'!$D$41:$D$76, 0),I$10))/1000000, "-")</f>
        <v>-</v>
      </c>
      <c r="J27" s="1291" t="str" cm="1">
        <f t="array" ref="J27">IF(Control!$H$10=Control!$I$10, (INDEX('CT Capital Costs'!$K$41:$O$76, MATCH($T27, 'CT Capital Costs'!$D$41:$D$76, 0),J$10))/1000000, "-")</f>
        <v>-</v>
      </c>
      <c r="K27" s="1291" t="str" cm="1">
        <f t="array" ref="K27">IF(Control!$H$10=Control!$I$10, (INDEX('CT Capital Costs'!$K$41:$O$76, MATCH($T27, 'CT Capital Costs'!$D$41:$D$76, 0),K$10))/1000000, "-")</f>
        <v>-</v>
      </c>
      <c r="L27" s="1291"/>
      <c r="M27" s="1291" t="str" cm="1">
        <f t="array" ref="M27">IF(Control!$H$10=Control!$I$10, (INDEX('CT Capital Costs'!$R$47:$V$76, MATCH($T27, 'CT Capital Costs'!$D$47:$D$76, 0),M$10))/1000000, "-")</f>
        <v>-</v>
      </c>
      <c r="N27" s="1291" t="str" cm="1">
        <f t="array" ref="N27">IF(Control!$H$10=Control!$I$10, (INDEX('CT Capital Costs'!$R$47:$V$76, MATCH($T27, 'CT Capital Costs'!$D$47:$D$76, 0),N$10))/1000000, "-")</f>
        <v>-</v>
      </c>
      <c r="O27" s="1291" t="str" cm="1">
        <f t="array" ref="O27">IF(Control!$H$10=Control!$I$10, (INDEX('CT Capital Costs'!$R$47:$V$76, MATCH($T27, 'CT Capital Costs'!$D$47:$D$76, 0),O$10))/1000000, "-")</f>
        <v>-</v>
      </c>
      <c r="P27" s="1291" t="str" cm="1">
        <f t="array" ref="P27">IF(Control!$H$10=Control!$I$10, (INDEX('CT Capital Costs'!$R$47:$V$76, MATCH($T27, 'CT Capital Costs'!$D$47:$D$76, 0),P$10))/1000000, "-")</f>
        <v>-</v>
      </c>
      <c r="Q27" s="1291" t="str" cm="1">
        <f t="array" ref="Q27">IF(Control!$H$10=Control!$I$10, (INDEX('CT Capital Costs'!$R$47:$V$76, MATCH($T27, 'CT Capital Costs'!$D$47:$D$76, 0),Q$10))/1000000, "-")</f>
        <v>-</v>
      </c>
      <c r="T27" s="76" t="str">
        <f>IFERROR('CT Capital Costs'!$D52,0)</f>
        <v>Sales Tax</v>
      </c>
      <c r="U27" s="1454"/>
      <c r="X27" s="1454"/>
      <c r="Y27" s="1454"/>
      <c r="Z27" s="1454"/>
      <c r="AA27" s="1454"/>
    </row>
    <row r="28" spans="1:27" ht="15" customHeight="1" x14ac:dyDescent="0.35">
      <c r="A28" s="1421"/>
      <c r="B28" s="1421"/>
      <c r="C28" s="1421"/>
      <c r="D28" s="189" t="str">
        <f t="shared" si="0"/>
        <v>EPC Contractor Fee</v>
      </c>
      <c r="E28" s="1885" t="str">
        <f>_xlfn.XLOOKUP(T28,'CT Capital Costs'!$D$41:$D$70,'CT Capital Costs'!$H$41:$H$70)</f>
        <v/>
      </c>
      <c r="F28" s="1592"/>
      <c r="G28" s="1592" t="str" cm="1">
        <f t="array" ref="G28">IF(Control!$H$10=Control!$I$10, (INDEX('CT Capital Costs'!$K$41:$O$76, MATCH($T28, 'CT Capital Costs'!$D$41:$D$76, 0),G$10))/1000000, "-")</f>
        <v>-</v>
      </c>
      <c r="H28" s="1592" t="str" cm="1">
        <f t="array" ref="H28">IF(Control!$H$10=Control!$I$10, (INDEX('CT Capital Costs'!$K$41:$O$76, MATCH($T28, 'CT Capital Costs'!$D$41:$D$76, 0),H$10))/1000000, "-")</f>
        <v>-</v>
      </c>
      <c r="I28" s="1592" t="str" cm="1">
        <f t="array" ref="I28">IF(Control!$H$10=Control!$I$10, (INDEX('CT Capital Costs'!$K$41:$O$76, MATCH($T28, 'CT Capital Costs'!$D$41:$D$76, 0),I$10))/1000000, "-")</f>
        <v>-</v>
      </c>
      <c r="J28" s="1592" t="str" cm="1">
        <f t="array" ref="J28">IF(Control!$H$10=Control!$I$10, (INDEX('CT Capital Costs'!$K$41:$O$76, MATCH($T28, 'CT Capital Costs'!$D$41:$D$76, 0),J$10))/1000000, "-")</f>
        <v>-</v>
      </c>
      <c r="K28" s="1592" t="str" cm="1">
        <f t="array" ref="K28">IF(Control!$H$10=Control!$I$10, (INDEX('CT Capital Costs'!$K$41:$O$76, MATCH($T28, 'CT Capital Costs'!$D$41:$D$76, 0),K$10))/1000000, "-")</f>
        <v>-</v>
      </c>
      <c r="L28" s="1592"/>
      <c r="M28" s="1592" t="str" cm="1">
        <f t="array" ref="M28">IF(Control!$H$10=Control!$I$10, (INDEX('CT Capital Costs'!$R$47:$V$76, MATCH($T28, 'CT Capital Costs'!$D$47:$D$76, 0),M$10))/1000000, "-")</f>
        <v>-</v>
      </c>
      <c r="N28" s="1592" t="str" cm="1">
        <f t="array" ref="N28">IF(Control!$H$10=Control!$I$10, (INDEX('CT Capital Costs'!$R$47:$V$76, MATCH($T28, 'CT Capital Costs'!$D$47:$D$76, 0),N$10))/1000000, "-")</f>
        <v>-</v>
      </c>
      <c r="O28" s="1592" t="str" cm="1">
        <f t="array" ref="O28">IF(Control!$H$10=Control!$I$10, (INDEX('CT Capital Costs'!$R$47:$V$76, MATCH($T28, 'CT Capital Costs'!$D$47:$D$76, 0),O$10))/1000000, "-")</f>
        <v>-</v>
      </c>
      <c r="P28" s="1592" t="str" cm="1">
        <f t="array" ref="P28">IF(Control!$H$10=Control!$I$10, (INDEX('CT Capital Costs'!$R$47:$V$76, MATCH($T28, 'CT Capital Costs'!$D$47:$D$76, 0),P$10))/1000000, "-")</f>
        <v>-</v>
      </c>
      <c r="Q28" s="1592" t="str" cm="1">
        <f t="array" ref="Q28">IF(Control!$H$10=Control!$I$10, (INDEX('CT Capital Costs'!$R$47:$V$76, MATCH($T28, 'CT Capital Costs'!$D$47:$D$76, 0),Q$10))/1000000, "-")</f>
        <v>-</v>
      </c>
      <c r="T28" s="76" t="str">
        <f>IFERROR('CT Capital Costs'!$D53,0)</f>
        <v>EPC Contractor Fee</v>
      </c>
      <c r="U28" s="1454"/>
      <c r="X28" s="1454"/>
      <c r="Y28" s="1454"/>
      <c r="Z28" s="1454"/>
      <c r="AA28" s="1454"/>
    </row>
    <row r="29" spans="1:27" ht="15" customHeight="1" x14ac:dyDescent="0.35">
      <c r="A29" s="1421"/>
      <c r="B29" s="1421"/>
      <c r="C29" s="1421"/>
      <c r="D29" s="1887" t="str">
        <f t="shared" si="0"/>
        <v>EPC Contingency</v>
      </c>
      <c r="E29" s="1884" t="str">
        <f>_xlfn.XLOOKUP(T29,'CT Capital Costs'!$D$41:$D$70,'CT Capital Costs'!$H$41:$H$70)</f>
        <v/>
      </c>
      <c r="F29" s="1291"/>
      <c r="G29" s="1291" t="str" cm="1">
        <f t="array" ref="G29">IF(Control!$H$10=Control!$I$10, (INDEX('CT Capital Costs'!$K$41:$O$76, MATCH($T29, 'CT Capital Costs'!$D$41:$D$76, 0),G$10))/1000000, "-")</f>
        <v>-</v>
      </c>
      <c r="H29" s="1291" t="str" cm="1">
        <f t="array" ref="H29">IF(Control!$H$10=Control!$I$10, (INDEX('CT Capital Costs'!$K$41:$O$76, MATCH($T29, 'CT Capital Costs'!$D$41:$D$76, 0),H$10))/1000000, "-")</f>
        <v>-</v>
      </c>
      <c r="I29" s="1291" t="str" cm="1">
        <f t="array" ref="I29">IF(Control!$H$10=Control!$I$10, (INDEX('CT Capital Costs'!$K$41:$O$76, MATCH($T29, 'CT Capital Costs'!$D$41:$D$76, 0),I$10))/1000000, "-")</f>
        <v>-</v>
      </c>
      <c r="J29" s="1291" t="str" cm="1">
        <f t="array" ref="J29">IF(Control!$H$10=Control!$I$10, (INDEX('CT Capital Costs'!$K$41:$O$76, MATCH($T29, 'CT Capital Costs'!$D$41:$D$76, 0),J$10))/1000000, "-")</f>
        <v>-</v>
      </c>
      <c r="K29" s="1291" t="str" cm="1">
        <f t="array" ref="K29">IF(Control!$H$10=Control!$I$10, (INDEX('CT Capital Costs'!$K$41:$O$76, MATCH($T29, 'CT Capital Costs'!$D$41:$D$76, 0),K$10))/1000000, "-")</f>
        <v>-</v>
      </c>
      <c r="L29" s="1291"/>
      <c r="M29" s="1291" t="str" cm="1">
        <f t="array" ref="M29">IF(Control!$H$10=Control!$I$10, (INDEX('CT Capital Costs'!$R$47:$V$76, MATCH($T29, 'CT Capital Costs'!$D$47:$D$76, 0),M$10))/1000000, "-")</f>
        <v>-</v>
      </c>
      <c r="N29" s="1291" t="str" cm="1">
        <f t="array" ref="N29">IF(Control!$H$10=Control!$I$10, (INDEX('CT Capital Costs'!$R$47:$V$76, MATCH($T29, 'CT Capital Costs'!$D$47:$D$76, 0),N$10))/1000000, "-")</f>
        <v>-</v>
      </c>
      <c r="O29" s="1291" t="str" cm="1">
        <f t="array" ref="O29">IF(Control!$H$10=Control!$I$10, (INDEX('CT Capital Costs'!$R$47:$V$76, MATCH($T29, 'CT Capital Costs'!$D$47:$D$76, 0),O$10))/1000000, "-")</f>
        <v>-</v>
      </c>
      <c r="P29" s="1291" t="str" cm="1">
        <f t="array" ref="P29">IF(Control!$H$10=Control!$I$10, (INDEX('CT Capital Costs'!$R$47:$V$76, MATCH($T29, 'CT Capital Costs'!$D$47:$D$76, 0),P$10))/1000000, "-")</f>
        <v>-</v>
      </c>
      <c r="Q29" s="1291" t="str" cm="1">
        <f t="array" ref="Q29">IF(Control!$H$10=Control!$I$10, (INDEX('CT Capital Costs'!$R$47:$V$76, MATCH($T29, 'CT Capital Costs'!$D$47:$D$76, 0),Q$10))/1000000, "-")</f>
        <v>-</v>
      </c>
      <c r="T29" s="76" t="str">
        <f>IFERROR('CT Capital Costs'!$D54,0)</f>
        <v>EPC Contingency</v>
      </c>
      <c r="U29" s="1454"/>
      <c r="X29" s="1454"/>
      <c r="Y29" s="1454"/>
      <c r="Z29" s="1454"/>
      <c r="AA29" s="1454"/>
    </row>
    <row r="30" spans="1:27" s="1416" customFormat="1" ht="6" customHeight="1" x14ac:dyDescent="0.35">
      <c r="A30" s="1438"/>
      <c r="B30" s="1438"/>
      <c r="C30" s="1438"/>
      <c r="D30" s="1439"/>
      <c r="E30" s="1440"/>
      <c r="F30" s="1441"/>
      <c r="G30" s="1441"/>
      <c r="H30" s="1441"/>
      <c r="I30" s="1441"/>
      <c r="J30" s="1441"/>
      <c r="K30" s="1441"/>
      <c r="L30" s="1441"/>
      <c r="M30" s="1441"/>
      <c r="N30" s="1441"/>
      <c r="O30" s="1441"/>
      <c r="P30" s="1441"/>
      <c r="Q30" s="1441"/>
      <c r="T30" s="1204"/>
    </row>
    <row r="31" spans="1:27" ht="15" customHeight="1" x14ac:dyDescent="0.35">
      <c r="A31" s="1421"/>
      <c r="B31" s="1421"/>
      <c r="C31" s="1421"/>
      <c r="D31" s="1654" t="s">
        <v>107</v>
      </c>
      <c r="E31" s="960"/>
      <c r="F31" s="965"/>
      <c r="G31" s="963" t="str">
        <f>IF(Control!$H$10=Control!$I$10,SUM(G32:G41),"-")</f>
        <v>-</v>
      </c>
      <c r="H31" s="963" t="str">
        <f>IF(Control!$H$10=Control!$I$10,SUM(H32:H41),"-")</f>
        <v>-</v>
      </c>
      <c r="I31" s="963" t="str">
        <f>IF(Control!$H$10=Control!$I$10,SUM(I32:I41),"-")</f>
        <v>-</v>
      </c>
      <c r="J31" s="963" t="str">
        <f>IF(Control!$H$10=Control!$I$10,SUM(J32:J41),"-")</f>
        <v>-</v>
      </c>
      <c r="K31" s="963" t="str">
        <f>IF(Control!$H$10=Control!$I$10,SUM(K32:K41),"-")</f>
        <v>-</v>
      </c>
      <c r="L31" s="967" t="str">
        <f>IF(Control!$H$10=Control!$I$10,SUM(L32:L41),"-")</f>
        <v>-</v>
      </c>
      <c r="M31" s="963" t="str">
        <f>IF(Control!$H$10=Control!$I$10,SUM(M32:M41),"-")</f>
        <v>-</v>
      </c>
      <c r="N31" s="963" t="str">
        <f>IF(Control!$H$10=Control!$I$10,SUM(N32:N41),"-")</f>
        <v>-</v>
      </c>
      <c r="O31" s="963" t="str">
        <f>IF(Control!$H$10=Control!$I$10,SUM(O32:O41),"-")</f>
        <v>-</v>
      </c>
      <c r="P31" s="963" t="str">
        <f>IF(Control!$H$10=Control!$I$10,SUM(P32:P41),"-")</f>
        <v>-</v>
      </c>
      <c r="Q31" s="963" t="str">
        <f>IF(Control!$H$10=Control!$I$10,SUM(Q32:Q41),"-")</f>
        <v>-</v>
      </c>
    </row>
    <row r="32" spans="1:27" ht="15" customHeight="1" x14ac:dyDescent="0.35">
      <c r="A32" s="1421"/>
      <c r="B32" s="1421"/>
      <c r="C32" s="1421"/>
      <c r="D32" s="1883" t="str">
        <f t="shared" ref="D32:D41" si="1">T32</f>
        <v>Project Development</v>
      </c>
      <c r="E32" s="1884"/>
      <c r="F32" s="1291"/>
      <c r="G32" s="1291" t="str" cm="1">
        <f t="array" ref="G32">IF(Control!$H$10=Control!$I$10, (INDEX('CT Capital Costs'!$K$41:$O$76, MATCH('Capital Costs - CT'!$T32, 'CT Capital Costs'!$D$41:$D$76, 0),G$10))/1000000, "-")</f>
        <v>-</v>
      </c>
      <c r="H32" s="1291" t="str" cm="1">
        <f t="array" ref="H32">IF(Control!$H$10=Control!$I$10, (INDEX('CT Capital Costs'!$K$41:$O$76, MATCH('Capital Costs - CT'!$T32, 'CT Capital Costs'!$D$41:$D$76, 0),H$10))/1000000, "-")</f>
        <v>-</v>
      </c>
      <c r="I32" s="1291" t="str" cm="1">
        <f t="array" ref="I32">IF(Control!$H$10=Control!$I$10, (INDEX('CT Capital Costs'!$K$41:$O$76, MATCH('Capital Costs - CT'!$T32, 'CT Capital Costs'!$D$41:$D$76, 0),I$10))/1000000, "-")</f>
        <v>-</v>
      </c>
      <c r="J32" s="1291" t="str" cm="1">
        <f t="array" ref="J32">IF(Control!$H$10=Control!$I$10, (INDEX('CT Capital Costs'!$K$41:$O$76, MATCH('Capital Costs - CT'!$T32, 'CT Capital Costs'!$D$41:$D$76, 0),J$10))/1000000, "-")</f>
        <v>-</v>
      </c>
      <c r="K32" s="1291" t="str" cm="1">
        <f t="array" ref="K32">IF(Control!$H$10=Control!$I$10, (INDEX('CT Capital Costs'!$K$41:$O$76, MATCH('Capital Costs - CT'!$T32, 'CT Capital Costs'!$D$41:$D$76, 0),K$10))/1000000, "-")</f>
        <v>-</v>
      </c>
      <c r="L32" s="1291"/>
      <c r="M32" s="1291" t="str" cm="1">
        <f t="array" ref="M32">IF(Control!$H$10=Control!$I$10, (INDEX('CT Capital Costs'!$R$41:$V$76, MATCH('Capital Costs - CT'!$T32, 'CT Capital Costs'!$D$41:$D$76, 0),M$10))/1000000, "-")</f>
        <v>-</v>
      </c>
      <c r="N32" s="1291" t="str" cm="1">
        <f t="array" ref="N32">IF(Control!$H$10=Control!$I$10, (INDEX('CT Capital Costs'!$R$41:$V$76, MATCH('Capital Costs - CT'!$T32, 'CT Capital Costs'!$D$41:$D$76, 0),N$10))/1000000, "-")</f>
        <v>-</v>
      </c>
      <c r="O32" s="1291" t="str" cm="1">
        <f t="array" ref="O32">IF(Control!$H$10=Control!$I$10, (INDEX('CT Capital Costs'!$R$41:$V$76, MATCH('Capital Costs - CT'!$T32, 'CT Capital Costs'!$D$41:$D$76, 0),O$10))/1000000, "-")</f>
        <v>-</v>
      </c>
      <c r="P32" s="1291" t="str" cm="1">
        <f t="array" ref="P32">IF(Control!$H$10=Control!$I$10, (INDEX('CT Capital Costs'!$R$41:$V$76, MATCH('Capital Costs - CT'!$T32, 'CT Capital Costs'!$D$41:$D$76, 0),P$10))/1000000, "-")</f>
        <v>-</v>
      </c>
      <c r="Q32" s="1291" t="str" cm="1">
        <f t="array" ref="Q32">IF(Control!$H$10=Control!$I$10, (INDEX('CT Capital Costs'!$R$41:$V$76, MATCH('Capital Costs - CT'!$T32, 'CT Capital Costs'!$D$41:$D$76, 0),Q$10))/1000000, "-")</f>
        <v>-</v>
      </c>
      <c r="T32" s="76" t="str">
        <f>IFERROR('CT Capital Costs'!$D61,0)</f>
        <v>Project Development</v>
      </c>
      <c r="U32" s="1454"/>
      <c r="X32" s="1454"/>
      <c r="Y32" s="1454"/>
      <c r="Z32" s="1454"/>
      <c r="AA32" s="1454"/>
    </row>
    <row r="33" spans="1:27" ht="15" customHeight="1" x14ac:dyDescent="0.35">
      <c r="A33" s="1421"/>
      <c r="B33" s="1421"/>
      <c r="C33" s="1421"/>
      <c r="D33" s="1596" t="str">
        <f t="shared" si="1"/>
        <v>Mobilization and Start-Up</v>
      </c>
      <c r="E33" s="1885"/>
      <c r="F33" s="1592"/>
      <c r="G33" s="1592" t="str" cm="1">
        <f t="array" ref="G33">IF(Control!$H$10=Control!$I$10, (INDEX('CT Capital Costs'!$K$41:$O$76, MATCH('Capital Costs - CT'!$T33, 'CT Capital Costs'!$D$41:$D$76, 0),G$10))/1000000, "-")</f>
        <v>-</v>
      </c>
      <c r="H33" s="1592" t="str" cm="1">
        <f t="array" ref="H33">IF(Control!$H$10=Control!$I$10, (INDEX('CT Capital Costs'!$K$41:$O$76, MATCH('Capital Costs - CT'!$T33, 'CT Capital Costs'!$D$41:$D$76, 0),H$10))/1000000, "-")</f>
        <v>-</v>
      </c>
      <c r="I33" s="1592" t="str" cm="1">
        <f t="array" ref="I33">IF(Control!$H$10=Control!$I$10, (INDEX('CT Capital Costs'!$K$41:$O$76, MATCH('Capital Costs - CT'!$T33, 'CT Capital Costs'!$D$41:$D$76, 0),I$10))/1000000, "-")</f>
        <v>-</v>
      </c>
      <c r="J33" s="1592" t="str" cm="1">
        <f t="array" ref="J33">IF(Control!$H$10=Control!$I$10, (INDEX('CT Capital Costs'!$K$41:$O$76, MATCH('Capital Costs - CT'!$T33, 'CT Capital Costs'!$D$41:$D$76, 0),J$10))/1000000, "-")</f>
        <v>-</v>
      </c>
      <c r="K33" s="1592" t="str" cm="1">
        <f t="array" ref="K33">IF(Control!$H$10=Control!$I$10, (INDEX('CT Capital Costs'!$K$41:$O$76, MATCH('Capital Costs - CT'!$T33, 'CT Capital Costs'!$D$41:$D$76, 0),K$10))/1000000, "-")</f>
        <v>-</v>
      </c>
      <c r="L33" s="1592"/>
      <c r="M33" s="1592" t="str" cm="1">
        <f t="array" ref="M33">IF(Control!$H$10=Control!$I$10, (INDEX('CT Capital Costs'!$R$41:$V$76, MATCH('Capital Costs - CT'!$T33, 'CT Capital Costs'!$D$41:$D$76, 0),M$10))/1000000, "-")</f>
        <v>-</v>
      </c>
      <c r="N33" s="1592" t="str" cm="1">
        <f t="array" ref="N33">IF(Control!$H$10=Control!$I$10, (INDEX('CT Capital Costs'!$R$41:$V$76, MATCH('Capital Costs - CT'!$T33, 'CT Capital Costs'!$D$41:$D$76, 0),N$10))/1000000, "-")</f>
        <v>-</v>
      </c>
      <c r="O33" s="1592" t="str" cm="1">
        <f t="array" ref="O33">IF(Control!$H$10=Control!$I$10, (INDEX('CT Capital Costs'!$R$41:$V$76, MATCH('Capital Costs - CT'!$T33, 'CT Capital Costs'!$D$41:$D$76, 0),O$10))/1000000, "-")</f>
        <v>-</v>
      </c>
      <c r="P33" s="1592" t="str" cm="1">
        <f t="array" ref="P33">IF(Control!$H$10=Control!$I$10, (INDEX('CT Capital Costs'!$R$41:$V$76, MATCH('Capital Costs - CT'!$T33, 'CT Capital Costs'!$D$41:$D$76, 0),P$10))/1000000, "-")</f>
        <v>-</v>
      </c>
      <c r="Q33" s="1592" t="str" cm="1">
        <f t="array" ref="Q33">IF(Control!$H$10=Control!$I$10, (INDEX('CT Capital Costs'!$R$41:$V$76, MATCH('Capital Costs - CT'!$T33, 'CT Capital Costs'!$D$41:$D$76, 0),Q$10))/1000000, "-")</f>
        <v>-</v>
      </c>
      <c r="T33" s="76" t="str">
        <f>IFERROR('CT Capital Costs'!$D62,0)</f>
        <v>Mobilization and Start-Up</v>
      </c>
      <c r="U33" s="1454"/>
      <c r="X33" s="1454"/>
      <c r="Y33" s="1454"/>
      <c r="Z33" s="1454"/>
      <c r="AA33" s="1454"/>
    </row>
    <row r="34" spans="1:27" ht="15" customHeight="1" x14ac:dyDescent="0.35">
      <c r="D34" s="1883" t="str">
        <f t="shared" si="1"/>
        <v>Non-Fuel Inventories</v>
      </c>
      <c r="E34" s="1884" t="str">
        <f>_xlfn.XLOOKUP(T34,'CT Capital Costs'!$D$41:$D$70,'CT Capital Costs'!$H$41:$H$70)</f>
        <v/>
      </c>
      <c r="F34" s="1291"/>
      <c r="G34" s="1291" t="str" cm="1">
        <f t="array" ref="G34">IF(Control!$H$10=Control!$I$10, (INDEX('CT Capital Costs'!$K$41:$O$76, MATCH('Capital Costs - CT'!$T34, 'CT Capital Costs'!$D$41:$D$76, 0),G$10))/1000000, "-")</f>
        <v>-</v>
      </c>
      <c r="H34" s="1291" t="str" cm="1">
        <f t="array" ref="H34">IF(Control!$H$10=Control!$I$10, (INDEX('CT Capital Costs'!$K$41:$O$76, MATCH('Capital Costs - CT'!$T34, 'CT Capital Costs'!$D$41:$D$76, 0),H$10))/1000000, "-")</f>
        <v>-</v>
      </c>
      <c r="I34" s="1291" t="str" cm="1">
        <f t="array" ref="I34">IF(Control!$H$10=Control!$I$10, (INDEX('CT Capital Costs'!$K$41:$O$76, MATCH('Capital Costs - CT'!$T34, 'CT Capital Costs'!$D$41:$D$76, 0),I$10))/1000000, "-")</f>
        <v>-</v>
      </c>
      <c r="J34" s="1291" t="str" cm="1">
        <f t="array" ref="J34">IF(Control!$H$10=Control!$I$10, (INDEX('CT Capital Costs'!$K$41:$O$76, MATCH('Capital Costs - CT'!$T34, 'CT Capital Costs'!$D$41:$D$76, 0),J$10))/1000000, "-")</f>
        <v>-</v>
      </c>
      <c r="K34" s="1291" t="str" cm="1">
        <f t="array" ref="K34">IF(Control!$H$10=Control!$I$10, (INDEX('CT Capital Costs'!$K$41:$O$76, MATCH('Capital Costs - CT'!$T34, 'CT Capital Costs'!$D$41:$D$76, 0),K$10))/1000000, "-")</f>
        <v>-</v>
      </c>
      <c r="L34" s="1291"/>
      <c r="M34" s="1291" t="str" cm="1">
        <f t="array" ref="M34">IF(Control!$H$10=Control!$I$10, (INDEX('CT Capital Costs'!$R$41:$V$76, MATCH('Capital Costs - CT'!$T34, 'CT Capital Costs'!$D$41:$D$76, 0),M$10))/1000000, "-")</f>
        <v>-</v>
      </c>
      <c r="N34" s="1291" t="str" cm="1">
        <f t="array" ref="N34">IF(Control!$H$10=Control!$I$10, (INDEX('CT Capital Costs'!$R$41:$V$76, MATCH('Capital Costs - CT'!$T34, 'CT Capital Costs'!$D$41:$D$76, 0),N$10))/1000000, "-")</f>
        <v>-</v>
      </c>
      <c r="O34" s="1291" t="str" cm="1">
        <f t="array" ref="O34">IF(Control!$H$10=Control!$I$10, (INDEX('CT Capital Costs'!$R$41:$V$76, MATCH('Capital Costs - CT'!$T34, 'CT Capital Costs'!$D$41:$D$76, 0),O$10))/1000000, "-")</f>
        <v>-</v>
      </c>
      <c r="P34" s="1291" t="str" cm="1">
        <f t="array" ref="P34">IF(Control!$H$10=Control!$I$10, (INDEX('CT Capital Costs'!$R$41:$V$76, MATCH('Capital Costs - CT'!$T34, 'CT Capital Costs'!$D$41:$D$76, 0),P$10))/1000000, "-")</f>
        <v>-</v>
      </c>
      <c r="Q34" s="1291" t="str" cm="1">
        <f t="array" ref="Q34">IF(Control!$H$10=Control!$I$10, (INDEX('CT Capital Costs'!$R$41:$V$76, MATCH('Capital Costs - CT'!$T34, 'CT Capital Costs'!$D$41:$D$76, 0),Q$10))/1000000, "-")</f>
        <v>-</v>
      </c>
      <c r="T34" s="1022" t="str">
        <f>IFERROR('CT Capital Costs'!$D63,0)</f>
        <v>Non-Fuel Inventories</v>
      </c>
      <c r="U34" s="1454"/>
      <c r="X34" s="1454"/>
      <c r="Y34" s="1454"/>
      <c r="Z34" s="1454"/>
      <c r="AA34" s="1454"/>
    </row>
    <row r="35" spans="1:27" ht="15" customHeight="1" x14ac:dyDescent="0.35">
      <c r="D35" s="1596" t="str">
        <f t="shared" si="1"/>
        <v>Net Start-Up Fuel Costs</v>
      </c>
      <c r="E35" s="1885"/>
      <c r="F35" s="1592"/>
      <c r="G35" s="1592" t="str" cm="1">
        <f t="array" ref="G35">IF(Control!$H$10=Control!$I$10, (INDEX('CT Capital Costs'!$K$41:$O$76, MATCH('Capital Costs - CT'!$T35, 'CT Capital Costs'!$D$41:$D$76, 0),G$10))/1000000, "-")</f>
        <v>-</v>
      </c>
      <c r="H35" s="1592" t="str" cm="1">
        <f t="array" ref="H35">IF(Control!$H$10=Control!$I$10, (INDEX('CT Capital Costs'!$K$41:$O$76, MATCH('Capital Costs - CT'!$T35, 'CT Capital Costs'!$D$41:$D$76, 0),H$10))/1000000, "-")</f>
        <v>-</v>
      </c>
      <c r="I35" s="1592" t="str" cm="1">
        <f t="array" ref="I35">IF(Control!$H$10=Control!$I$10, (INDEX('CT Capital Costs'!$K$41:$O$76, MATCH('Capital Costs - CT'!$T35, 'CT Capital Costs'!$D$41:$D$76, 0),I$10))/1000000, "-")</f>
        <v>-</v>
      </c>
      <c r="J35" s="1592" t="str" cm="1">
        <f t="array" ref="J35">IF(Control!$H$10=Control!$I$10, (INDEX('CT Capital Costs'!$K$41:$O$76, MATCH('Capital Costs - CT'!$T35, 'CT Capital Costs'!$D$41:$D$76, 0),J$10))/1000000, "-")</f>
        <v>-</v>
      </c>
      <c r="K35" s="1592" t="str" cm="1">
        <f t="array" ref="K35">IF(Control!$H$10=Control!$I$10, (INDEX('CT Capital Costs'!$K$41:$O$76, MATCH('Capital Costs - CT'!$T35, 'CT Capital Costs'!$D$41:$D$76, 0),K$10))/1000000, "-")</f>
        <v>-</v>
      </c>
      <c r="L35" s="1592"/>
      <c r="M35" s="1592" t="str" cm="1">
        <f t="array" ref="M35">IF(Control!$H$10=Control!$I$10, (INDEX('CT Capital Costs'!$R$41:$V$76, MATCH('Capital Costs - CT'!$T35, 'CT Capital Costs'!$D$41:$D$76, 0),M$10))/1000000, "-")</f>
        <v>-</v>
      </c>
      <c r="N35" s="1592" t="str" cm="1">
        <f t="array" ref="N35">IF(Control!$H$10=Control!$I$10, (INDEX('CT Capital Costs'!$R$41:$V$76, MATCH('Capital Costs - CT'!$T35, 'CT Capital Costs'!$D$41:$D$76, 0),N$10))/1000000, "-")</f>
        <v>-</v>
      </c>
      <c r="O35" s="1592" t="str" cm="1">
        <f t="array" ref="O35">IF(Control!$H$10=Control!$I$10, (INDEX('CT Capital Costs'!$R$41:$V$76, MATCH('Capital Costs - CT'!$T35, 'CT Capital Costs'!$D$41:$D$76, 0),O$10))/1000000, "-")</f>
        <v>-</v>
      </c>
      <c r="P35" s="1592" t="str" cm="1">
        <f t="array" ref="P35">IF(Control!$H$10=Control!$I$10, (INDEX('CT Capital Costs'!$R$41:$V$76, MATCH('Capital Costs - CT'!$T35, 'CT Capital Costs'!$D$41:$D$76, 0),P$10))/1000000, "-")</f>
        <v>-</v>
      </c>
      <c r="Q35" s="1592" t="str" cm="1">
        <f t="array" ref="Q35">IF(Control!$H$10=Control!$I$10, (INDEX('CT Capital Costs'!$R$41:$V$76, MATCH('Capital Costs - CT'!$T35, 'CT Capital Costs'!$D$41:$D$76, 0),Q$10))/1000000, "-")</f>
        <v>-</v>
      </c>
      <c r="T35" s="76" t="str">
        <f>IFERROR('CT Capital Costs'!$D64,0)</f>
        <v>Net Start-Up Fuel Costs</v>
      </c>
      <c r="U35" s="1454"/>
      <c r="X35" s="1454"/>
      <c r="Y35" s="1454"/>
      <c r="Z35" s="1454"/>
      <c r="AA35" s="1454"/>
    </row>
    <row r="36" spans="1:27" ht="15" customHeight="1" x14ac:dyDescent="0.35">
      <c r="D36" s="1883" t="str">
        <f t="shared" si="1"/>
        <v>Electrical Interconnection</v>
      </c>
      <c r="E36" s="1884">
        <f>_xlfn.XLOOKUP(T36,'CT Capital Costs'!$D$41:$D$70,'CT Capital Costs'!$H$41:$H$70)</f>
        <v>2.732183657242615E-2</v>
      </c>
      <c r="F36" s="1291"/>
      <c r="G36" s="1291" t="str" cm="1">
        <f t="array" ref="G36">IF(Control!$H$10=Control!$I$10, (INDEX('CT Capital Costs'!$K$41:$O$76, MATCH('Capital Costs - CT'!$T36, 'CT Capital Costs'!$D$41:$D$76, 0),G$10))/1000000, "-")</f>
        <v>-</v>
      </c>
      <c r="H36" s="1291" t="str" cm="1">
        <f t="array" ref="H36">IF(Control!$H$10=Control!$I$10, (INDEX('CT Capital Costs'!$K$41:$O$76, MATCH('Capital Costs - CT'!$T36, 'CT Capital Costs'!$D$41:$D$76, 0),H$10))/1000000, "-")</f>
        <v>-</v>
      </c>
      <c r="I36" s="1291" t="str" cm="1">
        <f t="array" ref="I36">IF(Control!$H$10=Control!$I$10, (INDEX('CT Capital Costs'!$K$41:$O$76, MATCH('Capital Costs - CT'!$T36, 'CT Capital Costs'!$D$41:$D$76, 0),I$10))/1000000, "-")</f>
        <v>-</v>
      </c>
      <c r="J36" s="1291" t="str" cm="1">
        <f t="array" ref="J36">IF(Control!$H$10=Control!$I$10, (INDEX('CT Capital Costs'!$K$41:$O$76, MATCH('Capital Costs - CT'!$T36, 'CT Capital Costs'!$D$41:$D$76, 0),J$10))/1000000, "-")</f>
        <v>-</v>
      </c>
      <c r="K36" s="1291" t="str" cm="1">
        <f t="array" ref="K36">IF(Control!$H$10=Control!$I$10, (INDEX('CT Capital Costs'!$K$41:$O$76, MATCH('Capital Costs - CT'!$T36, 'CT Capital Costs'!$D$41:$D$76, 0),K$10))/1000000, "-")</f>
        <v>-</v>
      </c>
      <c r="L36" s="1291"/>
      <c r="M36" s="1291" t="str" cm="1">
        <f t="array" ref="M36">IF(Control!$H$10=Control!$I$10, (INDEX('CT Capital Costs'!$R$41:$V$76, MATCH('Capital Costs - CT'!$T36, 'CT Capital Costs'!$D$41:$D$76, 0),M$10))/1000000, "-")</f>
        <v>-</v>
      </c>
      <c r="N36" s="1291" t="str" cm="1">
        <f t="array" ref="N36">IF(Control!$H$10=Control!$I$10, (INDEX('CT Capital Costs'!$R$41:$V$76, MATCH('Capital Costs - CT'!$T36, 'CT Capital Costs'!$D$41:$D$76, 0),N$10))/1000000, "-")</f>
        <v>-</v>
      </c>
      <c r="O36" s="1291" t="str" cm="1">
        <f t="array" ref="O36">IF(Control!$H$10=Control!$I$10, (INDEX('CT Capital Costs'!$R$41:$V$76, MATCH('Capital Costs - CT'!$T36, 'CT Capital Costs'!$D$41:$D$76, 0),O$10))/1000000, "-")</f>
        <v>-</v>
      </c>
      <c r="P36" s="1291" t="str" cm="1">
        <f t="array" ref="P36">IF(Control!$H$10=Control!$I$10, (INDEX('CT Capital Costs'!$R$41:$V$76, MATCH('Capital Costs - CT'!$T36, 'CT Capital Costs'!$D$41:$D$76, 0),P$10))/1000000, "-")</f>
        <v>-</v>
      </c>
      <c r="Q36" s="1291" t="str" cm="1">
        <f t="array" ref="Q36">IF(Control!$H$10=Control!$I$10, (INDEX('CT Capital Costs'!$R$41:$V$76, MATCH('Capital Costs - CT'!$T36, 'CT Capital Costs'!$D$41:$D$76, 0),Q$10))/1000000, "-")</f>
        <v>-</v>
      </c>
      <c r="R36" s="1414"/>
      <c r="T36" s="76" t="str">
        <f>IFERROR('CT Capital Costs'!$D65,0)</f>
        <v>Electrical Interconnection</v>
      </c>
      <c r="U36" s="1454"/>
      <c r="X36" s="1454"/>
      <c r="Y36" s="1454"/>
      <c r="Z36" s="1454"/>
      <c r="AA36" s="1454"/>
    </row>
    <row r="37" spans="1:27" ht="15" customHeight="1" x14ac:dyDescent="0.35">
      <c r="A37" s="1421"/>
      <c r="B37" s="1421"/>
      <c r="C37" s="1421"/>
      <c r="D37" s="1596" t="str">
        <f t="shared" si="1"/>
        <v>Gas Interconnection</v>
      </c>
      <c r="E37" s="1885">
        <f>_xlfn.XLOOKUP(T37,'CT Capital Costs'!$D$41:$D$70,'CT Capital Costs'!$H$41:$H$70)</f>
        <v>2.732183657242615E-2</v>
      </c>
      <c r="F37" s="1592"/>
      <c r="G37" s="1592" t="str" cm="1">
        <f t="array" ref="G37">IF(Control!$H$10=Control!$I$10, (INDEX('CT Capital Costs'!$K$41:$O$76, MATCH('Capital Costs - CT'!$T37, 'CT Capital Costs'!$D$41:$D$76, 0),G$10))/1000000, "-")</f>
        <v>-</v>
      </c>
      <c r="H37" s="1592" t="str" cm="1">
        <f t="array" ref="H37">IF(Control!$H$10=Control!$I$10, (INDEX('CT Capital Costs'!$K$41:$O$76, MATCH('Capital Costs - CT'!$T37, 'CT Capital Costs'!$D$41:$D$76, 0),H$10))/1000000, "-")</f>
        <v>-</v>
      </c>
      <c r="I37" s="1592" t="str" cm="1">
        <f t="array" ref="I37">IF(Control!$H$10=Control!$I$10, (INDEX('CT Capital Costs'!$K$41:$O$76, MATCH('Capital Costs - CT'!$T37, 'CT Capital Costs'!$D$41:$D$76, 0),I$10))/1000000, "-")</f>
        <v>-</v>
      </c>
      <c r="J37" s="1592" t="str" cm="1">
        <f t="array" ref="J37">IF(Control!$H$10=Control!$I$10, (INDEX('CT Capital Costs'!$K$41:$O$76, MATCH('Capital Costs - CT'!$T37, 'CT Capital Costs'!$D$41:$D$76, 0),J$10))/1000000, "-")</f>
        <v>-</v>
      </c>
      <c r="K37" s="1592" t="str" cm="1">
        <f t="array" ref="K37">IF(Control!$H$10=Control!$I$10, (INDEX('CT Capital Costs'!$K$41:$O$76, MATCH('Capital Costs - CT'!$T37, 'CT Capital Costs'!$D$41:$D$76, 0),K$10))/1000000, "-")</f>
        <v>-</v>
      </c>
      <c r="L37" s="1592"/>
      <c r="M37" s="1592" t="str" cm="1">
        <f t="array" ref="M37">IF(Control!$H$10=Control!$I$10, (INDEX('CT Capital Costs'!$R$41:$V$76, MATCH('Capital Costs - CT'!$T37, 'CT Capital Costs'!$D$41:$D$76, 0),M$10))/1000000, "-")</f>
        <v>-</v>
      </c>
      <c r="N37" s="1592" t="str" cm="1">
        <f t="array" ref="N37">IF(Control!$H$10=Control!$I$10, (INDEX('CT Capital Costs'!$R$41:$V$76, MATCH('Capital Costs - CT'!$T37, 'CT Capital Costs'!$D$41:$D$76, 0),N$10))/1000000, "-")</f>
        <v>-</v>
      </c>
      <c r="O37" s="1592" t="str" cm="1">
        <f t="array" ref="O37">IF(Control!$H$10=Control!$I$10, (INDEX('CT Capital Costs'!$R$41:$V$76, MATCH('Capital Costs - CT'!$T37, 'CT Capital Costs'!$D$41:$D$76, 0),O$10))/1000000, "-")</f>
        <v>-</v>
      </c>
      <c r="P37" s="1592" t="str" cm="1">
        <f t="array" ref="P37">IF(Control!$H$10=Control!$I$10, (INDEX('CT Capital Costs'!$R$41:$V$76, MATCH('Capital Costs - CT'!$T37, 'CT Capital Costs'!$D$41:$D$76, 0),P$10))/1000000, "-")</f>
        <v>-</v>
      </c>
      <c r="Q37" s="1592" t="str" cm="1">
        <f t="array" ref="Q37">IF(Control!$H$10=Control!$I$10, (INDEX('CT Capital Costs'!$R$41:$V$76, MATCH('Capital Costs - CT'!$T37, 'CT Capital Costs'!$D$41:$D$76, 0),Q$10))/1000000, "-")</f>
        <v>-</v>
      </c>
      <c r="T37" s="76" t="str">
        <f>IFERROR('CT Capital Costs'!$D66,0)</f>
        <v>Gas Interconnection</v>
      </c>
      <c r="U37" s="1454"/>
      <c r="X37" s="1454"/>
      <c r="Y37" s="1454"/>
      <c r="Z37" s="1454"/>
      <c r="AA37" s="1454"/>
    </row>
    <row r="38" spans="1:27" ht="15" customHeight="1" x14ac:dyDescent="0.35">
      <c r="A38" s="1421"/>
      <c r="B38" s="1421"/>
      <c r="C38" s="1421"/>
      <c r="D38" s="1883" t="str">
        <f t="shared" si="1"/>
        <v>Land</v>
      </c>
      <c r="E38" s="1884">
        <f>_xlfn.XLOOKUP(T38,'CT Capital Costs'!$D$41:$D$70,'CT Capital Costs'!$H$41:$H$70)</f>
        <v>2.732183657242615E-2</v>
      </c>
      <c r="F38" s="1291"/>
      <c r="G38" s="1291" t="str" cm="1">
        <f t="array" ref="G38">IF(Control!$H$10=Control!$I$10, (INDEX('CT Capital Costs'!$K$41:$O$76, MATCH('Capital Costs - CT'!$T38, 'CT Capital Costs'!$D$41:$D$76, 0),G$10))/1000000, "-")</f>
        <v>-</v>
      </c>
      <c r="H38" s="1291" t="str" cm="1">
        <f t="array" ref="H38">IF(Control!$H$10=Control!$I$10, (INDEX('CT Capital Costs'!$K$41:$O$76, MATCH('Capital Costs - CT'!$T38, 'CT Capital Costs'!$D$41:$D$76, 0),H$10))/1000000, "-")</f>
        <v>-</v>
      </c>
      <c r="I38" s="1291" t="str" cm="1">
        <f t="array" ref="I38">IF(Control!$H$10=Control!$I$10, (INDEX('CT Capital Costs'!$K$41:$O$76, MATCH('Capital Costs - CT'!$T38, 'CT Capital Costs'!$D$41:$D$76, 0),I$10))/1000000, "-")</f>
        <v>-</v>
      </c>
      <c r="J38" s="1291" t="str" cm="1">
        <f t="array" ref="J38">IF(Control!$H$10=Control!$I$10, (INDEX('CT Capital Costs'!$K$41:$O$76, MATCH('Capital Costs - CT'!$T38, 'CT Capital Costs'!$D$41:$D$76, 0),J$10))/1000000, "-")</f>
        <v>-</v>
      </c>
      <c r="K38" s="1291" t="str" cm="1">
        <f t="array" ref="K38">IF(Control!$H$10=Control!$I$10, (INDEX('CT Capital Costs'!$K$41:$O$76, MATCH('Capital Costs - CT'!$T38, 'CT Capital Costs'!$D$41:$D$76, 0),K$10))/1000000, "-")</f>
        <v>-</v>
      </c>
      <c r="L38" s="1291"/>
      <c r="M38" s="1291" t="str" cm="1">
        <f t="array" ref="M38">IF(Control!$H$10=Control!$I$10, (INDEX('CT Capital Costs'!$R$41:$V$76, MATCH('Capital Costs - CT'!$T38, 'CT Capital Costs'!$D$41:$D$76, 0),M$10))/1000000, "-")</f>
        <v>-</v>
      </c>
      <c r="N38" s="1291" t="str" cm="1">
        <f t="array" ref="N38">IF(Control!$H$10=Control!$I$10, (INDEX('CT Capital Costs'!$R$41:$V$76, MATCH('Capital Costs - CT'!$T38, 'CT Capital Costs'!$D$41:$D$76, 0),N$10))/1000000, "-")</f>
        <v>-</v>
      </c>
      <c r="O38" s="1291" t="str" cm="1">
        <f t="array" ref="O38">IF(Control!$H$10=Control!$I$10, (INDEX('CT Capital Costs'!$R$41:$V$76, MATCH('Capital Costs - CT'!$T38, 'CT Capital Costs'!$D$41:$D$76, 0),O$10))/1000000, "-")</f>
        <v>-</v>
      </c>
      <c r="P38" s="1291" t="str" cm="1">
        <f t="array" ref="P38">IF(Control!$H$10=Control!$I$10, (INDEX('CT Capital Costs'!$R$41:$V$76, MATCH('Capital Costs - CT'!$T38, 'CT Capital Costs'!$D$41:$D$76, 0),P$10))/1000000, "-")</f>
        <v>-</v>
      </c>
      <c r="Q38" s="1291" t="str" cm="1">
        <f t="array" ref="Q38">IF(Control!$H$10=Control!$I$10, (INDEX('CT Capital Costs'!$R$41:$V$76, MATCH('Capital Costs - CT'!$T38, 'CT Capital Costs'!$D$41:$D$76, 0),Q$10))/1000000, "-")</f>
        <v>-</v>
      </c>
      <c r="T38" s="76" t="str">
        <f>IFERROR('CT Capital Costs'!$D67,0)</f>
        <v>Land</v>
      </c>
      <c r="U38" s="1454"/>
      <c r="X38" s="1454"/>
      <c r="Y38" s="1454"/>
      <c r="Z38" s="1454"/>
      <c r="AA38" s="1454"/>
    </row>
    <row r="39" spans="1:27" ht="15" customHeight="1" x14ac:dyDescent="0.35">
      <c r="A39" s="1421"/>
      <c r="B39" s="1421"/>
      <c r="C39" s="1421"/>
      <c r="D39" s="1596" t="str">
        <f t="shared" si="1"/>
        <v>Fuel Inventories</v>
      </c>
      <c r="E39" s="1885"/>
      <c r="F39" s="1592"/>
      <c r="G39" s="1592" t="str" cm="1">
        <f t="array" ref="G39">IF(Control!$H$10=Control!$I$10, (INDEX('CT Capital Costs'!$K$41:$O$76, MATCH('Capital Costs - CT'!$T39, 'CT Capital Costs'!$D$41:$D$76, 0),G$10))/1000000, "-")</f>
        <v>-</v>
      </c>
      <c r="H39" s="1592" t="str" cm="1">
        <f t="array" ref="H39">IF(Control!$H$10=Control!$I$10, (INDEX('CT Capital Costs'!$K$41:$O$76, MATCH('Capital Costs - CT'!$T39, 'CT Capital Costs'!$D$41:$D$76, 0),H$10))/1000000, "-")</f>
        <v>-</v>
      </c>
      <c r="I39" s="1592" t="str" cm="1">
        <f t="array" ref="I39">IF(Control!$H$10=Control!$I$10, (INDEX('CT Capital Costs'!$K$41:$O$76, MATCH('Capital Costs - CT'!$T39, 'CT Capital Costs'!$D$41:$D$76, 0),I$10))/1000000, "-")</f>
        <v>-</v>
      </c>
      <c r="J39" s="1592" t="str" cm="1">
        <f t="array" ref="J39">IF(Control!$H$10=Control!$I$10, (INDEX('CT Capital Costs'!$K$41:$O$76, MATCH('Capital Costs - CT'!$T39, 'CT Capital Costs'!$D$41:$D$76, 0),J$10))/1000000, "-")</f>
        <v>-</v>
      </c>
      <c r="K39" s="1592" t="str" cm="1">
        <f t="array" ref="K39">IF(Control!$H$10=Control!$I$10, (INDEX('CT Capital Costs'!$K$41:$O$76, MATCH('Capital Costs - CT'!$T39, 'CT Capital Costs'!$D$41:$D$76, 0),K$10))/1000000, "-")</f>
        <v>-</v>
      </c>
      <c r="L39" s="1592"/>
      <c r="M39" s="1592" t="str" cm="1">
        <f t="array" ref="M39">IF(Control!$H$10=Control!$I$10, (INDEX('CT Capital Costs'!$R$41:$V$76, MATCH('Capital Costs - CT'!$T39, 'CT Capital Costs'!$D$41:$D$76, 0),M$10))/1000000, "-")</f>
        <v>-</v>
      </c>
      <c r="N39" s="1592" t="str" cm="1">
        <f t="array" ref="N39">IF(Control!$H$10=Control!$I$10, (INDEX('CT Capital Costs'!$R$41:$V$76, MATCH('Capital Costs - CT'!$T39, 'CT Capital Costs'!$D$41:$D$76, 0),N$10))/1000000, "-")</f>
        <v>-</v>
      </c>
      <c r="O39" s="1592" t="str" cm="1">
        <f t="array" ref="O39">IF(Control!$H$10=Control!$I$10, (INDEX('CT Capital Costs'!$R$41:$V$76, MATCH('Capital Costs - CT'!$T39, 'CT Capital Costs'!$D$41:$D$76, 0),O$10))/1000000, "-")</f>
        <v>-</v>
      </c>
      <c r="P39" s="1592" t="str" cm="1">
        <f t="array" ref="P39">IF(Control!$H$10=Control!$I$10, (INDEX('CT Capital Costs'!$R$41:$V$76, MATCH('Capital Costs - CT'!$T39, 'CT Capital Costs'!$D$41:$D$76, 0),P$10))/1000000, "-")</f>
        <v>-</v>
      </c>
      <c r="Q39" s="1592" t="str" cm="1">
        <f t="array" ref="Q39">IF(Control!$H$10=Control!$I$10, (INDEX('CT Capital Costs'!$R$41:$V$76, MATCH('Capital Costs - CT'!$T39, 'CT Capital Costs'!$D$41:$D$76, 0),Q$10))/1000000, "-")</f>
        <v>-</v>
      </c>
      <c r="T39" s="76" t="str">
        <f>IFERROR('CT Capital Costs'!$D68,0)</f>
        <v>Fuel Inventories</v>
      </c>
    </row>
    <row r="40" spans="1:27" s="1417" customFormat="1" ht="15" customHeight="1" x14ac:dyDescent="0.35">
      <c r="A40" s="1444"/>
      <c r="B40" s="1444"/>
      <c r="C40" s="1444"/>
      <c r="D40" s="1883" t="str">
        <f t="shared" si="1"/>
        <v>Owner's Contingency</v>
      </c>
      <c r="E40" s="1884" t="str">
        <f>_xlfn.XLOOKUP(T40,'CT Capital Costs'!$D$41:$D$70,'CT Capital Costs'!$H$41:$H$70)</f>
        <v/>
      </c>
      <c r="F40" s="1291"/>
      <c r="G40" s="1291" t="str" cm="1">
        <f t="array" ref="G40">IF(Control!$H$10=Control!$I$10, (INDEX('CT Capital Costs'!$K$41:$O$76, MATCH('Capital Costs - CT'!$T40, 'CT Capital Costs'!$D$41:$D$76, 0),G$10))/1000000, "-")</f>
        <v>-</v>
      </c>
      <c r="H40" s="1291" t="str" cm="1">
        <f t="array" ref="H40">IF(Control!$H$10=Control!$I$10, (INDEX('CT Capital Costs'!$K$41:$O$76, MATCH('Capital Costs - CT'!$T40, 'CT Capital Costs'!$D$41:$D$76, 0),H$10))/1000000, "-")</f>
        <v>-</v>
      </c>
      <c r="I40" s="1291" t="str" cm="1">
        <f t="array" ref="I40">IF(Control!$H$10=Control!$I$10, (INDEX('CT Capital Costs'!$K$41:$O$76, MATCH('Capital Costs - CT'!$T40, 'CT Capital Costs'!$D$41:$D$76, 0),I$10))/1000000, "-")</f>
        <v>-</v>
      </c>
      <c r="J40" s="1291" t="str" cm="1">
        <f t="array" ref="J40">IF(Control!$H$10=Control!$I$10, (INDEX('CT Capital Costs'!$K$41:$O$76, MATCH('Capital Costs - CT'!$T40, 'CT Capital Costs'!$D$41:$D$76, 0),J$10))/1000000, "-")</f>
        <v>-</v>
      </c>
      <c r="K40" s="1291" t="str" cm="1">
        <f t="array" ref="K40">IF(Control!$H$10=Control!$I$10, (INDEX('CT Capital Costs'!$K$41:$O$76, MATCH('Capital Costs - CT'!$T40, 'CT Capital Costs'!$D$41:$D$76, 0),K$10))/1000000, "-")</f>
        <v>-</v>
      </c>
      <c r="L40" s="1291"/>
      <c r="M40" s="1291" t="str" cm="1">
        <f t="array" ref="M40">IF(Control!$H$10=Control!$I$10, (INDEX('CT Capital Costs'!$R$41:$V$76, MATCH('Capital Costs - CT'!$T40, 'CT Capital Costs'!$D$41:$D$76, 0),M$10))/1000000, "-")</f>
        <v>-</v>
      </c>
      <c r="N40" s="1291" t="str" cm="1">
        <f t="array" ref="N40">IF(Control!$H$10=Control!$I$10, (INDEX('CT Capital Costs'!$R$41:$V$76, MATCH('Capital Costs - CT'!$T40, 'CT Capital Costs'!$D$41:$D$76, 0),N$10))/1000000, "-")</f>
        <v>-</v>
      </c>
      <c r="O40" s="1291" t="str" cm="1">
        <f t="array" ref="O40">IF(Control!$H$10=Control!$I$10, (INDEX('CT Capital Costs'!$R$41:$V$76, MATCH('Capital Costs - CT'!$T40, 'CT Capital Costs'!$D$41:$D$76, 0),O$10))/1000000, "-")</f>
        <v>-</v>
      </c>
      <c r="P40" s="1291" t="str" cm="1">
        <f t="array" ref="P40">IF(Control!$H$10=Control!$I$10, (INDEX('CT Capital Costs'!$R$41:$V$76, MATCH('Capital Costs - CT'!$T40, 'CT Capital Costs'!$D$41:$D$76, 0),P$10))/1000000, "-")</f>
        <v>-</v>
      </c>
      <c r="Q40" s="1291" t="str" cm="1">
        <f t="array" ref="Q40">IF(Control!$H$10=Control!$I$10, (INDEX('CT Capital Costs'!$R$41:$V$76, MATCH('Capital Costs - CT'!$T40, 'CT Capital Costs'!$D$41:$D$76, 0),Q$10))/1000000, "-")</f>
        <v>-</v>
      </c>
      <c r="T40" s="76" t="str">
        <f>IFERROR('CT Capital Costs'!$D69,0)</f>
        <v>Owner's Contingency</v>
      </c>
    </row>
    <row r="41" spans="1:27" s="1417" customFormat="1" ht="15" customHeight="1" x14ac:dyDescent="0.35">
      <c r="A41" s="1444"/>
      <c r="B41" s="1444"/>
      <c r="C41" s="1444"/>
      <c r="D41" s="1596" t="str">
        <f t="shared" si="1"/>
        <v>Financing Fees</v>
      </c>
      <c r="E41" s="1885" t="str">
        <f>_xlfn.XLOOKUP(T41,'CT Capital Costs'!$D$41:$D$70,'CT Capital Costs'!$H$41:$H$70)</f>
        <v/>
      </c>
      <c r="F41" s="1592"/>
      <c r="G41" s="1592" t="str" cm="1">
        <f t="array" ref="G41">IF(Control!$H$10=Control!$I$10, (INDEX('CT Capital Costs'!$K$41:$O$76, MATCH('Capital Costs - CT'!$T41, 'CT Capital Costs'!$D$41:$D$76, 0),G$10))/1000000, "-")</f>
        <v>-</v>
      </c>
      <c r="H41" s="1592" t="str" cm="1">
        <f t="array" ref="H41">IF(Control!$H$10=Control!$I$10, (INDEX('CT Capital Costs'!$K$41:$O$76, MATCH('Capital Costs - CT'!$T41, 'CT Capital Costs'!$D$41:$D$76, 0),H$10))/1000000, "-")</f>
        <v>-</v>
      </c>
      <c r="I41" s="1592" t="str" cm="1">
        <f t="array" ref="I41">IF(Control!$H$10=Control!$I$10, (INDEX('CT Capital Costs'!$K$41:$O$76, MATCH('Capital Costs - CT'!$T41, 'CT Capital Costs'!$D$41:$D$76, 0),I$10))/1000000, "-")</f>
        <v>-</v>
      </c>
      <c r="J41" s="1592" t="str" cm="1">
        <f t="array" ref="J41">IF(Control!$H$10=Control!$I$10, (INDEX('CT Capital Costs'!$K$41:$O$76, MATCH('Capital Costs - CT'!$T41, 'CT Capital Costs'!$D$41:$D$76, 0),J$10))/1000000, "-")</f>
        <v>-</v>
      </c>
      <c r="K41" s="1592" t="str" cm="1">
        <f t="array" ref="K41">IF(Control!$H$10=Control!$I$10, (INDEX('CT Capital Costs'!$K$41:$O$76, MATCH('Capital Costs - CT'!$T41, 'CT Capital Costs'!$D$41:$D$76, 0),K$10))/1000000, "-")</f>
        <v>-</v>
      </c>
      <c r="L41" s="1592"/>
      <c r="M41" s="1592" t="str" cm="1">
        <f t="array" ref="M41">IF(Control!$H$10=Control!$I$10, (INDEX('CT Capital Costs'!$R$41:$V$76, MATCH('Capital Costs - CT'!$T41, 'CT Capital Costs'!$D$41:$D$76, 0),M$10))/1000000, "-")</f>
        <v>-</v>
      </c>
      <c r="N41" s="1592" t="str" cm="1">
        <f t="array" ref="N41">IF(Control!$H$10=Control!$I$10, (INDEX('CT Capital Costs'!$R$41:$V$76, MATCH('Capital Costs - CT'!$T41, 'CT Capital Costs'!$D$41:$D$76, 0),N$10))/1000000, "-")</f>
        <v>-</v>
      </c>
      <c r="O41" s="1592" t="str" cm="1">
        <f t="array" ref="O41">IF(Control!$H$10=Control!$I$10, (INDEX('CT Capital Costs'!$R$41:$V$76, MATCH('Capital Costs - CT'!$T41, 'CT Capital Costs'!$D$41:$D$76, 0),O$10))/1000000, "-")</f>
        <v>-</v>
      </c>
      <c r="P41" s="1592" t="str" cm="1">
        <f t="array" ref="P41">IF(Control!$H$10=Control!$I$10, (INDEX('CT Capital Costs'!$R$41:$V$76, MATCH('Capital Costs - CT'!$T41, 'CT Capital Costs'!$D$41:$D$76, 0),P$10))/1000000, "-")</f>
        <v>-</v>
      </c>
      <c r="Q41" s="1592" t="str" cm="1">
        <f t="array" ref="Q41">IF(Control!$H$10=Control!$I$10, (INDEX('CT Capital Costs'!$R$41:$V$76, MATCH('Capital Costs - CT'!$T41, 'CT Capital Costs'!$D$41:$D$76, 0),Q$10))/1000000, "-")</f>
        <v>-</v>
      </c>
      <c r="T41" s="76" t="str">
        <f>IFERROR('CT Capital Costs'!$D70,0)</f>
        <v>Financing Fees</v>
      </c>
    </row>
    <row r="42" spans="1:27" s="1418" customFormat="1" ht="6" customHeight="1" x14ac:dyDescent="0.35">
      <c r="A42" s="1445"/>
      <c r="B42" s="1445"/>
      <c r="C42" s="1445"/>
      <c r="D42" s="1446"/>
      <c r="E42" s="1447"/>
      <c r="F42" s="1441"/>
      <c r="G42" s="1441"/>
      <c r="H42" s="1441"/>
      <c r="I42" s="1441"/>
      <c r="J42" s="1441"/>
      <c r="K42" s="1441"/>
      <c r="L42" s="1441"/>
      <c r="M42" s="1441"/>
      <c r="N42" s="1441"/>
      <c r="O42" s="1441"/>
      <c r="P42" s="1441"/>
      <c r="Q42" s="1441"/>
      <c r="T42" s="1205"/>
    </row>
    <row r="43" spans="1:27" s="1417" customFormat="1" ht="15" customHeight="1" x14ac:dyDescent="0.35">
      <c r="A43" s="1444"/>
      <c r="B43" s="1444"/>
      <c r="C43" s="1444"/>
      <c r="D43" s="1654" t="s">
        <v>557</v>
      </c>
      <c r="E43" s="960"/>
      <c r="F43" s="965"/>
      <c r="G43" s="963" t="str">
        <f>IFERROR(G$15+G$31,"-")</f>
        <v>-</v>
      </c>
      <c r="H43" s="963" t="str">
        <f>IFERROR(H$15+H$31,"-")</f>
        <v>-</v>
      </c>
      <c r="I43" s="963" t="str">
        <f>IFERROR(I$15+I$31,"-")</f>
        <v>-</v>
      </c>
      <c r="J43" s="963" t="str">
        <f>IFERROR(J$15+J$31,"-")</f>
        <v>-</v>
      </c>
      <c r="K43" s="963" t="str">
        <f>IFERROR(K$15+K$31,"-")</f>
        <v>-</v>
      </c>
      <c r="L43" s="967"/>
      <c r="M43" s="963" t="str">
        <f>IFERROR(M$15+M$31,"-")</f>
        <v>-</v>
      </c>
      <c r="N43" s="963" t="str">
        <f>IFERROR(N$15+N$31,"-")</f>
        <v>-</v>
      </c>
      <c r="O43" s="963" t="str">
        <f>IFERROR(O$15+O$31,"-")</f>
        <v>-</v>
      </c>
      <c r="P43" s="963" t="str">
        <f>IFERROR(P$15+P$31,"-")</f>
        <v>-</v>
      </c>
      <c r="Q43" s="963" t="str">
        <f>IFERROR(Q$15+Q$31,"-")</f>
        <v>-</v>
      </c>
      <c r="R43" s="1419"/>
      <c r="T43" s="72"/>
    </row>
    <row r="44" spans="1:27" s="1417" customFormat="1" ht="6" customHeight="1" x14ac:dyDescent="0.35">
      <c r="A44" s="1444"/>
      <c r="B44" s="1444"/>
      <c r="C44" s="1444"/>
      <c r="D44" s="1873"/>
      <c r="E44" s="1874"/>
      <c r="F44" s="1875"/>
      <c r="G44" s="1876"/>
      <c r="H44" s="1876"/>
      <c r="I44" s="1876"/>
      <c r="J44" s="1876"/>
      <c r="K44" s="1876"/>
      <c r="L44" s="1877"/>
      <c r="M44" s="1876"/>
      <c r="N44" s="1876"/>
      <c r="O44" s="1876"/>
      <c r="P44" s="1876"/>
      <c r="Q44" s="1876"/>
      <c r="R44" s="1419"/>
      <c r="T44" s="72"/>
    </row>
    <row r="45" spans="1:27" s="1417" customFormat="1" ht="6" customHeight="1" x14ac:dyDescent="0.35">
      <c r="A45" s="1444"/>
      <c r="B45" s="1444"/>
      <c r="C45" s="1444"/>
      <c r="D45" s="1878"/>
      <c r="E45" s="1879"/>
      <c r="F45" s="1880"/>
      <c r="G45" s="1881"/>
      <c r="H45" s="1881"/>
      <c r="I45" s="1881"/>
      <c r="J45" s="1881"/>
      <c r="K45" s="1881"/>
      <c r="L45" s="1882"/>
      <c r="M45" s="1881"/>
      <c r="N45" s="1881"/>
      <c r="O45" s="1881"/>
      <c r="P45" s="1881"/>
      <c r="Q45" s="1881"/>
      <c r="R45" s="1419"/>
      <c r="T45" s="72"/>
    </row>
    <row r="46" spans="1:27" ht="15" customHeight="1" x14ac:dyDescent="0.35">
      <c r="A46" s="1421"/>
      <c r="B46" s="1421"/>
      <c r="C46" s="1421"/>
      <c r="D46" s="1986" t="s">
        <v>576</v>
      </c>
      <c r="E46" s="1995"/>
      <c r="F46" s="1994"/>
      <c r="G46" s="2125" t="str">
        <f>IF(Control!$H$10=Control!$I$10, (G$43*1000000)/(G$12*1000), "-")</f>
        <v>-</v>
      </c>
      <c r="H46" s="1999" t="str">
        <f>IF(Control!$H$10=Control!$I$10, (H$43*1000000)/(H$12*1000), "-")</f>
        <v>-</v>
      </c>
      <c r="I46" s="1999" t="str">
        <f>IF(Control!$H$10=Control!$I$10, (I$43*1000000)/(I$12*1000), "-")</f>
        <v>-</v>
      </c>
      <c r="J46" s="1999" t="str">
        <f>IF(Control!$H$10=Control!$I$10, (J$43*1000000)/(J$12*1000), "-")</f>
        <v>-</v>
      </c>
      <c r="K46" s="1999" t="str">
        <f>IF(Control!$H$10=Control!$I$10, (K$43*1000000)/(K$12*1000), "-")</f>
        <v>-</v>
      </c>
      <c r="L46" s="1994"/>
      <c r="M46" s="1999" t="str">
        <f>IF(Control!$H$10=Control!$I$10, (M$43*1000000)/(M$12*1000), "-")</f>
        <v>-</v>
      </c>
      <c r="N46" s="1999" t="str">
        <f>IF(Control!$H$10=Control!$I$10, (N$43*1000000)/(N$12*1000), "-")</f>
        <v>-</v>
      </c>
      <c r="O46" s="1999" t="str">
        <f>IF(Control!$H$10=Control!$I$10, (O$43*1000000)/(O$12*1000), "-")</f>
        <v>-</v>
      </c>
      <c r="P46" s="1999" t="str">
        <f>IF(Control!$H$10=Control!$I$10, (P$43*1000000)/(P$12*1000), "-")</f>
        <v>-</v>
      </c>
      <c r="Q46" s="1999" t="str">
        <f>IF(Control!$H$10=Control!$I$10, (Q$43*1000000)/(Q$12*1000), "-")</f>
        <v>-</v>
      </c>
    </row>
    <row r="47" spans="1:27" ht="15" customHeight="1" outlineLevel="1" x14ac:dyDescent="0.35">
      <c r="A47" s="1421"/>
      <c r="B47" s="1421"/>
      <c r="C47" s="1421"/>
      <c r="D47" s="1986" t="s">
        <v>615</v>
      </c>
      <c r="E47" s="1986"/>
      <c r="F47" s="1995"/>
      <c r="G47" s="1999" t="str">
        <f>IFERROR(IF(Control!$H$10=Control!$I$10,"n/a","-"),0)</f>
        <v>-</v>
      </c>
      <c r="H47" s="1999" t="str">
        <f>IFERROR(IF(Control!$H$10=Control!$I$10,"n/a","-"),0)</f>
        <v>-</v>
      </c>
      <c r="I47" s="1999" t="str">
        <f>IFERROR(IF(Control!$H$10=Control!$I$10,"n/a","-"),0)</f>
        <v>-</v>
      </c>
      <c r="J47" s="1999" t="str">
        <f>IFERROR(IF(Control!$H$10=Control!$I$10,"n/a","-"),0)</f>
        <v>-</v>
      </c>
      <c r="K47" s="1999" t="str">
        <f>IFERROR(IF(Control!$H$10=Control!$I$10,"n/a","-"),0)</f>
        <v>-</v>
      </c>
      <c r="L47" s="1994"/>
      <c r="M47" s="2125" t="str">
        <f>IF(Control!$H$10=Control!$I$10,  _xlfn.XLOOKUP(M$11,Control!$I$79:$M$79,Control!$I$85:$M$85)*10^6/('CT OM Costs'!K$34*10^3), "-")</f>
        <v>-</v>
      </c>
      <c r="N47" s="1999" t="str">
        <f>IF(Control!$H$10=Control!$I$10,  _xlfn.XLOOKUP(N$11,Control!$I$79:$M$79,Control!$I$85:$M$85)*10^6/('CT OM Costs'!L$34*10^3), "-")</f>
        <v>-</v>
      </c>
      <c r="O47" s="1999" t="str">
        <f>IF(Control!$H$10=Control!$I$10,  _xlfn.XLOOKUP(O$11,Control!$I$79:$M$79,Control!$I$85:$M$85)*10^6/('CT OM Costs'!M$34*10^3), "-")</f>
        <v>-</v>
      </c>
      <c r="P47" s="1999" t="str">
        <f>IF(Control!$H$10=Control!$I$10,  _xlfn.XLOOKUP(P$11,Control!$I$79:$M$79,Control!$I$85:$M$85)*10^6/('CT OM Costs'!N$34*10^3), "-")</f>
        <v>-</v>
      </c>
      <c r="Q47" s="1999" t="str">
        <f>IF(Control!$H$10=Control!$I$10,  _xlfn.XLOOKUP(Q$11,Control!$I$79:$M$79,Control!$I$85:$M$85)*10^6/('CT OM Costs'!O$34*10^3), "-")</f>
        <v>-</v>
      </c>
    </row>
    <row r="48" spans="1:27" ht="6" customHeight="1" thickBot="1" x14ac:dyDescent="0.4">
      <c r="D48" s="1448"/>
      <c r="E48" s="1448"/>
      <c r="F48" s="1448"/>
      <c r="G48" s="1449"/>
      <c r="H48" s="1449"/>
      <c r="I48" s="1449"/>
      <c r="J48" s="1449"/>
      <c r="K48" s="1449"/>
      <c r="L48" s="1449"/>
      <c r="M48" s="1449"/>
      <c r="N48" s="1449"/>
      <c r="O48" s="1449"/>
      <c r="P48" s="1449"/>
      <c r="Q48" s="1449"/>
    </row>
    <row r="49" spans="1:20" ht="6" customHeight="1" thickTop="1" x14ac:dyDescent="0.35">
      <c r="D49" s="384" t="s">
        <v>114</v>
      </c>
      <c r="E49" s="384"/>
      <c r="F49" s="384"/>
      <c r="G49" s="1450"/>
      <c r="H49" s="1450"/>
      <c r="I49" s="1450"/>
      <c r="J49" s="1450"/>
      <c r="K49" s="1450"/>
      <c r="L49" s="1450"/>
      <c r="M49" s="1450"/>
      <c r="N49" s="1450"/>
      <c r="O49" s="1450"/>
      <c r="P49" s="1450"/>
      <c r="Q49" s="1450"/>
    </row>
    <row r="50" spans="1:20" s="82" customFormat="1" ht="15" customHeight="1" x14ac:dyDescent="0.35">
      <c r="A50" s="1282"/>
      <c r="D50" s="1397" t="s">
        <v>683</v>
      </c>
      <c r="E50" s="1282"/>
      <c r="F50" s="1282"/>
      <c r="G50" s="988"/>
      <c r="T50" s="71"/>
    </row>
    <row r="51" spans="1:20" s="82" customFormat="1" ht="15" customHeight="1" x14ac:dyDescent="0.35">
      <c r="A51" s="1282"/>
      <c r="D51" s="46"/>
      <c r="F51" s="1282"/>
      <c r="G51" s="988"/>
      <c r="H51" s="1398"/>
      <c r="T51" s="71"/>
    </row>
    <row r="52" spans="1:20" ht="15" customHeight="1" x14ac:dyDescent="0.35">
      <c r="D52" s="384"/>
      <c r="E52" s="1429"/>
      <c r="F52" s="1429"/>
      <c r="G52" s="1453"/>
      <c r="H52" s="1453"/>
      <c r="I52" s="1453"/>
      <c r="J52" s="1453"/>
      <c r="K52" s="1453"/>
      <c r="L52" s="1453"/>
      <c r="M52" s="1453"/>
      <c r="N52" s="1453"/>
      <c r="O52" s="1453"/>
      <c r="P52" s="1453"/>
      <c r="Q52" s="1453"/>
    </row>
    <row r="53" spans="1:20" ht="15" customHeight="1" x14ac:dyDescent="0.35">
      <c r="D53" s="384"/>
      <c r="E53" s="1429"/>
      <c r="F53" s="1429"/>
      <c r="G53" s="1453"/>
      <c r="H53" s="1453"/>
      <c r="I53" s="1453"/>
      <c r="J53" s="1453"/>
      <c r="K53" s="1453"/>
      <c r="L53" s="1453"/>
      <c r="M53" s="1453"/>
      <c r="N53" s="1453"/>
      <c r="O53" s="1453"/>
      <c r="P53" s="1453"/>
      <c r="Q53" s="1453"/>
    </row>
    <row r="54" spans="1:20" ht="15" customHeight="1" x14ac:dyDescent="0.35">
      <c r="D54" s="1429"/>
      <c r="E54" s="1429"/>
      <c r="F54" s="1429"/>
      <c r="G54" s="1429"/>
      <c r="H54" s="1429"/>
      <c r="I54" s="1429"/>
      <c r="J54" s="1429"/>
      <c r="K54" s="1429"/>
      <c r="L54" s="1429"/>
      <c r="M54" s="1429"/>
      <c r="N54" s="1429"/>
      <c r="O54" s="1429"/>
      <c r="P54" s="1429"/>
      <c r="Q54" s="1429"/>
    </row>
    <row r="55" spans="1:20" ht="15" customHeight="1" x14ac:dyDescent="0.35">
      <c r="D55" s="1429"/>
      <c r="E55" s="1429"/>
      <c r="F55" s="1429"/>
      <c r="G55" s="1429"/>
      <c r="H55" s="1429"/>
      <c r="I55" s="1429"/>
      <c r="J55" s="1429"/>
      <c r="K55" s="1429"/>
      <c r="L55" s="1429"/>
      <c r="M55" s="1429"/>
      <c r="N55" s="1429"/>
      <c r="O55" s="1429"/>
      <c r="P55" s="1429"/>
      <c r="Q55" s="1429"/>
    </row>
    <row r="56" spans="1:20" ht="15" customHeight="1" x14ac:dyDescent="0.35">
      <c r="D56" s="1429"/>
      <c r="E56" s="1429"/>
      <c r="F56" s="1429"/>
      <c r="G56" s="1429"/>
      <c r="H56" s="1429"/>
      <c r="I56" s="1429"/>
      <c r="J56" s="1429"/>
      <c r="K56" s="1429"/>
      <c r="L56" s="1429"/>
      <c r="M56" s="1429"/>
      <c r="N56" s="1429"/>
      <c r="O56" s="1429"/>
      <c r="P56" s="1429"/>
      <c r="Q56" s="1429"/>
    </row>
  </sheetData>
  <mergeCells count="2">
    <mergeCell ref="M7:Q7"/>
    <mergeCell ref="G7:K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3870-C736-485F-8C3B-8AAB19B549BF}">
  <sheetPr codeName="Sheet10">
    <pageSetUpPr autoPageBreaks="0"/>
  </sheetPr>
  <dimension ref="A1:Z58"/>
  <sheetViews>
    <sheetView showGridLines="0" zoomScale="70" zoomScaleNormal="70" workbookViewId="0"/>
  </sheetViews>
  <sheetFormatPr defaultColWidth="9.1796875" defaultRowHeight="15" customHeight="1" outlineLevelRow="1" outlineLevelCol="1" x14ac:dyDescent="0.35"/>
  <cols>
    <col min="1" max="3" width="13.54296875" style="1443" customWidth="1"/>
    <col min="4" max="4" width="33.453125" style="83" bestFit="1" customWidth="1"/>
    <col min="5" max="5" width="14.54296875" style="83" customWidth="1"/>
    <col min="6" max="6" width="0.81640625" style="83" customWidth="1"/>
    <col min="7" max="8" width="12.54296875" style="83" customWidth="1"/>
    <col min="9" max="9" width="12.54296875" style="1485" customWidth="1"/>
    <col min="10" max="11" width="12.54296875" style="83" customWidth="1"/>
    <col min="12" max="12" width="0.81640625" style="83" customWidth="1"/>
    <col min="13" max="14" width="11.54296875" style="83" customWidth="1"/>
    <col min="15" max="15" width="12.54296875" style="83" bestFit="1" customWidth="1"/>
    <col min="16" max="17" width="11.54296875" style="83" customWidth="1"/>
    <col min="18" max="18" width="9.1796875" style="83"/>
    <col min="19" max="19" width="26.54296875" style="71" hidden="1" customWidth="1" outlineLevel="1"/>
    <col min="20" max="20" width="9.1796875" style="83" collapsed="1"/>
    <col min="21" max="16384" width="9.1796875" style="83"/>
  </cols>
  <sheetData>
    <row r="1" spans="1:26" ht="15" customHeight="1" x14ac:dyDescent="0.35">
      <c r="A1" s="1643" t="s">
        <v>275</v>
      </c>
      <c r="B1" s="1644"/>
      <c r="C1" s="1437"/>
      <c r="D1" s="1653"/>
      <c r="E1" s="326"/>
      <c r="F1" s="326"/>
      <c r="G1" s="326"/>
      <c r="H1" s="326"/>
      <c r="I1" s="1645"/>
      <c r="J1" s="326"/>
      <c r="K1" s="326"/>
      <c r="L1" s="326"/>
      <c r="M1" s="326"/>
      <c r="N1" s="326"/>
      <c r="O1" s="326"/>
      <c r="P1" s="326"/>
      <c r="Q1" s="326"/>
      <c r="R1" s="1415"/>
      <c r="S1" s="1646"/>
      <c r="T1" s="1415"/>
      <c r="U1" s="1415"/>
      <c r="V1" s="1415"/>
      <c r="W1" s="1415"/>
      <c r="X1" s="1415"/>
      <c r="Y1" s="1415"/>
      <c r="Z1" s="1415"/>
    </row>
    <row r="2" spans="1:26" ht="15" customHeight="1" x14ac:dyDescent="0.35">
      <c r="A2" s="1437"/>
      <c r="B2" s="1437"/>
      <c r="C2" s="1437"/>
      <c r="D2" s="326"/>
      <c r="E2" s="326"/>
      <c r="F2" s="326"/>
      <c r="G2" s="1414"/>
      <c r="H2" s="1414"/>
      <c r="I2" s="2059"/>
      <c r="J2" s="1414"/>
      <c r="K2" s="1414"/>
      <c r="L2" s="1414"/>
      <c r="M2" s="1414"/>
      <c r="N2" s="1414"/>
      <c r="O2" s="1414"/>
      <c r="P2" s="326"/>
      <c r="Q2" s="326"/>
      <c r="R2" s="1415"/>
      <c r="S2" s="1647"/>
      <c r="T2" s="1415"/>
      <c r="U2" s="1415"/>
      <c r="V2" s="1415"/>
      <c r="W2" s="1415"/>
      <c r="X2" s="1415"/>
      <c r="Y2" s="1415"/>
      <c r="Z2" s="1415"/>
    </row>
    <row r="3" spans="1:26" ht="15" customHeight="1" x14ac:dyDescent="0.35">
      <c r="A3" s="1437"/>
      <c r="B3" s="1437"/>
      <c r="C3" s="1437"/>
      <c r="D3" s="88" t="str">
        <f>LEFT(D4,FIND(":",D4)-1)</f>
        <v>Table T7</v>
      </c>
      <c r="E3" s="326"/>
      <c r="F3" s="326"/>
      <c r="G3" s="1414"/>
      <c r="H3" s="1414"/>
      <c r="I3" s="1414"/>
      <c r="J3" s="1414"/>
      <c r="K3" s="1414"/>
      <c r="L3" s="1414"/>
      <c r="M3" s="1414"/>
      <c r="N3" s="1414"/>
      <c r="O3" s="1414"/>
      <c r="P3" s="326"/>
      <c r="Q3" s="326"/>
      <c r="R3" s="1415"/>
      <c r="S3" s="1648"/>
      <c r="T3" s="1415"/>
      <c r="U3" s="1415"/>
      <c r="V3" s="1415"/>
      <c r="W3" s="1415"/>
      <c r="X3" s="1415"/>
      <c r="Y3" s="1415"/>
      <c r="Z3" s="1415"/>
    </row>
    <row r="4" spans="1:26" ht="15" customHeight="1" x14ac:dyDescent="0.45">
      <c r="A4" s="1437"/>
      <c r="B4" s="1437"/>
      <c r="C4" s="1437"/>
      <c r="D4" s="1650" t="str">
        <f>ToC!$J$14</f>
        <v>Table T7: Capital Costs for CC Resource (Nominal$)</v>
      </c>
      <c r="E4" s="1461"/>
      <c r="F4" s="1461"/>
      <c r="G4" s="1461"/>
      <c r="H4" s="1461"/>
      <c r="I4" s="1461"/>
      <c r="J4" s="1461"/>
      <c r="K4" s="1461"/>
      <c r="L4" s="1461"/>
      <c r="M4" s="1461"/>
      <c r="N4" s="1461"/>
      <c r="O4" s="1461"/>
      <c r="P4" s="1461"/>
      <c r="Q4" s="1461"/>
      <c r="R4" s="1415"/>
      <c r="S4" s="1649"/>
      <c r="T4" s="1415"/>
      <c r="U4" s="1415"/>
      <c r="V4" s="1415"/>
      <c r="W4" s="1415"/>
      <c r="X4" s="1415"/>
      <c r="Y4" s="1415"/>
      <c r="Z4" s="1415"/>
    </row>
    <row r="5" spans="1:26" ht="6" customHeight="1" thickBot="1" x14ac:dyDescent="0.4">
      <c r="A5" s="1421"/>
      <c r="B5" s="1421"/>
      <c r="C5" s="1421"/>
      <c r="D5" s="1422"/>
      <c r="E5" s="1422"/>
      <c r="F5" s="1462"/>
      <c r="G5" s="1422"/>
      <c r="H5" s="1422"/>
      <c r="I5" s="1463"/>
      <c r="J5" s="1422"/>
      <c r="K5" s="1422"/>
      <c r="L5" s="1422"/>
      <c r="M5" s="1422"/>
      <c r="N5" s="1422"/>
      <c r="O5" s="1422"/>
      <c r="P5" s="1422"/>
      <c r="Q5" s="1422"/>
    </row>
    <row r="6" spans="1:26" ht="6" customHeight="1" thickTop="1" x14ac:dyDescent="0.35">
      <c r="A6" s="1421"/>
      <c r="B6" s="1421"/>
      <c r="C6" s="1421"/>
      <c r="D6" s="1423"/>
      <c r="E6" s="1423"/>
      <c r="F6" s="1428"/>
      <c r="G6" s="144"/>
      <c r="H6" s="144"/>
      <c r="I6" s="207"/>
      <c r="J6" s="144"/>
      <c r="K6" s="144"/>
      <c r="L6" s="144"/>
      <c r="M6" s="144"/>
      <c r="N6" s="144"/>
      <c r="O6" s="144"/>
      <c r="P6" s="144"/>
      <c r="Q6" s="144"/>
    </row>
    <row r="7" spans="1:26" ht="14.5" x14ac:dyDescent="0.35">
      <c r="A7" s="1421"/>
      <c r="B7" s="1421"/>
      <c r="C7" s="1421"/>
      <c r="D7" s="1402" t="s">
        <v>566</v>
      </c>
      <c r="E7" s="1427" t="s">
        <v>543</v>
      </c>
      <c r="F7" s="1426"/>
      <c r="G7" s="2192" t="str">
        <f>"Current Overnight Capital Costs: "&amp;TEXT(Control!$H$18,"mm/yyyy")</f>
        <v>Current Overnight Capital Costs: 01/2025</v>
      </c>
      <c r="H7" s="2192"/>
      <c r="I7" s="2192"/>
      <c r="J7" s="2192"/>
      <c r="K7" s="2192"/>
      <c r="L7" s="1409"/>
      <c r="M7" s="2191" t="str">
        <f>"Escalated Overnight Capital Costs: "&amp;TEXT(Control!$H$19,"mm/yyyy")</f>
        <v>Escalated Overnight Capital Costs: 06/2028</v>
      </c>
      <c r="N7" s="2191"/>
      <c r="O7" s="2191"/>
      <c r="P7" s="2191"/>
      <c r="Q7" s="2191"/>
    </row>
    <row r="8" spans="1:26" ht="6" customHeight="1" x14ac:dyDescent="0.35">
      <c r="A8" s="1421"/>
      <c r="B8" s="1421"/>
      <c r="C8" s="1421"/>
      <c r="D8" s="1402"/>
      <c r="E8" s="1423"/>
      <c r="F8" s="1428"/>
      <c r="G8" s="144"/>
      <c r="H8" s="144"/>
      <c r="I8" s="207"/>
      <c r="J8" s="144"/>
      <c r="K8" s="144"/>
      <c r="L8" s="1464"/>
      <c r="M8" s="144"/>
      <c r="N8" s="144"/>
      <c r="O8" s="144"/>
      <c r="P8" s="144"/>
      <c r="Q8" s="144"/>
    </row>
    <row r="9" spans="1:26" ht="15" customHeight="1" x14ac:dyDescent="0.35">
      <c r="A9" s="1421"/>
      <c r="B9" s="1421"/>
      <c r="C9" s="1421"/>
      <c r="D9" s="1402" t="s">
        <v>24</v>
      </c>
      <c r="E9" s="1094" t="s">
        <v>10</v>
      </c>
      <c r="F9" s="1423"/>
      <c r="G9" s="1428" t="s">
        <v>259</v>
      </c>
      <c r="H9" s="1428" t="s">
        <v>259</v>
      </c>
      <c r="I9" s="1428" t="s">
        <v>259</v>
      </c>
      <c r="J9" s="1428" t="s">
        <v>259</v>
      </c>
      <c r="K9" s="1428" t="s">
        <v>259</v>
      </c>
      <c r="L9" s="1428">
        <f>'CC Capital Costs'!P$27</f>
        <v>0</v>
      </c>
      <c r="M9" s="1428" t="str">
        <f>'CC Capital Costs'!R$27</f>
        <v>Nominal$</v>
      </c>
      <c r="N9" s="1428" t="str">
        <f>'CC Capital Costs'!S$27</f>
        <v>Nominal$</v>
      </c>
      <c r="O9" s="1428" t="str">
        <f>'CC Capital Costs'!T$27</f>
        <v>Nominal$</v>
      </c>
      <c r="P9" s="1428" t="str">
        <f>'CC Capital Costs'!U$27</f>
        <v>Nominal$</v>
      </c>
      <c r="Q9" s="1428" t="str">
        <f>'CC Capital Costs'!V$27</f>
        <v>Nominal$</v>
      </c>
    </row>
    <row r="10" spans="1:26" ht="15" hidden="1" customHeight="1" outlineLevel="1" x14ac:dyDescent="0.35">
      <c r="A10" s="1421"/>
      <c r="B10" s="1421"/>
      <c r="C10" s="1421"/>
      <c r="D10" s="1402" t="s">
        <v>287</v>
      </c>
      <c r="E10" s="1429"/>
      <c r="F10" s="1465"/>
      <c r="G10" s="1378">
        <v>1</v>
      </c>
      <c r="H10" s="1378">
        <v>2</v>
      </c>
      <c r="I10" s="1378">
        <v>3</v>
      </c>
      <c r="J10" s="1378">
        <v>4</v>
      </c>
      <c r="K10" s="1378">
        <v>5</v>
      </c>
      <c r="L10" s="1378"/>
      <c r="M10" s="1378">
        <v>1</v>
      </c>
      <c r="N10" s="1378">
        <v>2</v>
      </c>
      <c r="O10" s="1378">
        <v>3</v>
      </c>
      <c r="P10" s="1378">
        <v>4</v>
      </c>
      <c r="Q10" s="1378">
        <v>5</v>
      </c>
      <c r="S10" s="2083" t="s">
        <v>269</v>
      </c>
    </row>
    <row r="11" spans="1:26" ht="15" customHeight="1" collapsed="1" x14ac:dyDescent="0.35">
      <c r="A11" s="1421"/>
      <c r="B11" s="1421"/>
      <c r="C11" s="1421"/>
      <c r="E11" s="1429"/>
      <c r="F11" s="1466"/>
      <c r="G11" s="1380" t="s">
        <v>288</v>
      </c>
      <c r="H11" s="1380" t="s">
        <v>289</v>
      </c>
      <c r="I11" s="1380" t="s">
        <v>290</v>
      </c>
      <c r="J11" s="1380" t="s">
        <v>291</v>
      </c>
      <c r="K11" s="1380" t="s">
        <v>299</v>
      </c>
      <c r="L11" s="1467"/>
      <c r="M11" s="1380" t="s">
        <v>288</v>
      </c>
      <c r="N11" s="1380" t="s">
        <v>289</v>
      </c>
      <c r="O11" s="1380" t="s">
        <v>290</v>
      </c>
      <c r="P11" s="1380" t="s">
        <v>291</v>
      </c>
      <c r="Q11" s="1380" t="s">
        <v>299</v>
      </c>
      <c r="S11" s="2083" t="s">
        <v>269</v>
      </c>
    </row>
    <row r="12" spans="1:26" ht="15" customHeight="1" x14ac:dyDescent="0.35">
      <c r="A12" s="1421"/>
      <c r="B12" s="1421"/>
      <c r="C12" s="1421"/>
      <c r="D12" s="1402" t="str">
        <f>Control!$D$42&amp;" (MW)"</f>
        <v>Net Summer Capacity (MW)</v>
      </c>
      <c r="F12" s="1429"/>
      <c r="G12" s="1433">
        <f>IF(Control!$H$10=Control!$J$10, 'CC Capital Costs'!K$35, "-")</f>
        <v>1289.1210000000001</v>
      </c>
      <c r="H12" s="1433">
        <f>IF(Control!$H$10=Control!$J$10, 'CC Capital Costs'!L$35, "-")</f>
        <v>1289.296</v>
      </c>
      <c r="I12" s="1433">
        <f>IF(Control!$H$10=Control!$J$10, 'CC Capital Costs'!M$35, "-")</f>
        <v>1276.144</v>
      </c>
      <c r="J12" s="1433">
        <f>IF(Control!$H$10=Control!$J$10, 'CC Capital Costs'!N$35, "-")</f>
        <v>1263.559</v>
      </c>
      <c r="K12" s="1433">
        <f>IF(Control!$H$10=Control!$J$10, 'CC Capital Costs'!O$35, "-")</f>
        <v>1293.8</v>
      </c>
      <c r="L12" s="1433"/>
      <c r="M12" s="1433">
        <f>IF(Control!$H$10=Control!$J$10, 'CC Capital Costs'!R$35, "-")</f>
        <v>1289.1210000000001</v>
      </c>
      <c r="N12" s="1433">
        <f>IF(Control!$H$10=Control!$J$10, 'CC Capital Costs'!S$35, "-")</f>
        <v>1289.296</v>
      </c>
      <c r="O12" s="1433">
        <f>IF(Control!$H$10=Control!$J$10, 'CC Capital Costs'!T$35, "-")</f>
        <v>1276.144</v>
      </c>
      <c r="P12" s="1433">
        <f>IF(Control!$H$10=Control!$J$10, 'CC Capital Costs'!U$35, "-")</f>
        <v>1263.559</v>
      </c>
      <c r="Q12" s="1433">
        <f>IF(Control!$H$10=Control!$J$10, 'CC Capital Costs'!V$35, "-")</f>
        <v>1293.8</v>
      </c>
      <c r="S12" s="2083"/>
    </row>
    <row r="13" spans="1:26" ht="6" customHeight="1" x14ac:dyDescent="0.35">
      <c r="A13" s="1421"/>
      <c r="B13" s="1421"/>
      <c r="C13" s="1421"/>
      <c r="D13" s="1434"/>
      <c r="E13" s="1434"/>
      <c r="F13" s="1468"/>
      <c r="G13" s="994"/>
      <c r="H13" s="994"/>
      <c r="I13" s="1469"/>
      <c r="J13" s="994"/>
      <c r="K13" s="994"/>
      <c r="L13" s="994"/>
      <c r="M13" s="994"/>
      <c r="N13" s="994"/>
      <c r="O13" s="994"/>
      <c r="P13" s="994"/>
      <c r="Q13" s="994"/>
    </row>
    <row r="14" spans="1:26" ht="6" customHeight="1" x14ac:dyDescent="0.35">
      <c r="A14" s="1421"/>
      <c r="B14" s="1421"/>
      <c r="C14" s="1421"/>
      <c r="D14" s="1435"/>
      <c r="E14" s="1435"/>
      <c r="F14" s="1466"/>
      <c r="G14" s="1381"/>
      <c r="H14" s="1381"/>
      <c r="I14" s="1470"/>
      <c r="J14" s="1381"/>
      <c r="K14" s="1381"/>
      <c r="L14" s="1381"/>
      <c r="M14" s="1381"/>
      <c r="N14" s="1381"/>
      <c r="O14" s="1381"/>
      <c r="P14" s="1381"/>
      <c r="Q14" s="1381"/>
    </row>
    <row r="15" spans="1:26" ht="15" customHeight="1" x14ac:dyDescent="0.35">
      <c r="A15" s="1421"/>
      <c r="B15" s="1420"/>
      <c r="C15" s="1421"/>
      <c r="D15" s="1654" t="s">
        <v>486</v>
      </c>
      <c r="E15" s="69"/>
      <c r="F15" s="962"/>
      <c r="G15" s="962">
        <f>IF(Control!$H$10=Control!$J$10,SUM(G17:G31),"-")</f>
        <v>1679.0915900000002</v>
      </c>
      <c r="H15" s="962">
        <f>IF(Control!$H$10=Control!$J$10,SUM(H17:H31),"-")</f>
        <v>1552.23035</v>
      </c>
      <c r="I15" s="963">
        <f>IF(Control!$H$10=Control!$J$10,SUM(I17:I31),"-")</f>
        <v>1553.5649800000001</v>
      </c>
      <c r="J15" s="963">
        <f>IF(Control!$H$10=Control!$J$10,SUM(J17:J31),"-")</f>
        <v>1604.9924000000001</v>
      </c>
      <c r="K15" s="963">
        <f>IF(Control!$H$10=Control!$J$10,SUM(K17:K31),"-")</f>
        <v>1848.8533118749999</v>
      </c>
      <c r="L15" s="964"/>
      <c r="M15" s="963">
        <f>IF(Control!$H$10=Control!$J$10,SUM(M17:M31),"-")</f>
        <v>1683.5342732184829</v>
      </c>
      <c r="N15" s="963">
        <f>IF(Control!$H$10=Control!$J$10,SUM(N17:N31),"-")</f>
        <v>1554.6625145822481</v>
      </c>
      <c r="O15" s="963">
        <f>IF(Control!$H$10=Control!$J$10,SUM(O17:O31),"-")</f>
        <v>1556.0182960268303</v>
      </c>
      <c r="P15" s="963">
        <f>IF(Control!$H$10=Control!$J$10,SUM(P17:P31),"-")</f>
        <v>1608.2607465777178</v>
      </c>
      <c r="Q15" s="963">
        <f>IF(Control!$H$10=Control!$J$10,SUM(Q17:Q31),"-")</f>
        <v>1831.1291740251922</v>
      </c>
      <c r="R15" s="1454"/>
    </row>
    <row r="16" spans="1:26" ht="15" customHeight="1" x14ac:dyDescent="0.35">
      <c r="A16" s="1421"/>
      <c r="B16" s="1421"/>
      <c r="C16" s="1421"/>
      <c r="D16" s="957" t="s">
        <v>638</v>
      </c>
      <c r="E16" s="1289"/>
      <c r="F16" s="1290"/>
      <c r="G16" s="1290"/>
      <c r="H16" s="1290"/>
      <c r="I16" s="1291"/>
      <c r="J16" s="1291"/>
      <c r="K16" s="1291"/>
      <c r="L16" s="1292"/>
      <c r="M16" s="1291"/>
      <c r="N16" s="1291"/>
      <c r="O16" s="1291"/>
      <c r="P16" s="1291"/>
      <c r="Q16" s="1291"/>
      <c r="S16" s="76"/>
      <c r="T16" s="1454"/>
      <c r="W16" s="1454"/>
      <c r="X16" s="1454"/>
      <c r="Y16" s="1454"/>
      <c r="Z16" s="1454"/>
    </row>
    <row r="17" spans="1:26" ht="15" customHeight="1" x14ac:dyDescent="0.35">
      <c r="A17" s="1421"/>
      <c r="B17" s="1420"/>
      <c r="C17" s="1421"/>
      <c r="D17" s="2087" t="str">
        <f>S17</f>
        <v>Gas Turbines</v>
      </c>
      <c r="E17" s="1940">
        <f>_xlfn.XLOOKUP($D17,'CC Capital Costs'!$D$41:$D$71,'CC Capital Costs'!$H$41:$H$71)</f>
        <v>-9.4455703920304224E-3</v>
      </c>
      <c r="F17" s="1593"/>
      <c r="G17" s="1593" cm="1">
        <f t="array" ref="G17">IF(Control!$H$10=Control!$J$10, (INDEX('CC Capital Costs'!$K$40:$O$77, MATCH('Capital Costs - CC'!$S17, 'CC Capital Costs'!$D$40:$D$77, 0),G$10))/1000000, "-")</f>
        <v>299</v>
      </c>
      <c r="H17" s="1593" cm="1">
        <f t="array" ref="H17">IF(Control!$H$10=Control!$J$10, (INDEX('CC Capital Costs'!$K$40:$O$77, MATCH('Capital Costs - CC'!$S17, 'CC Capital Costs'!$D$40:$D$77, 0),H$10))/1000000, "-")</f>
        <v>299</v>
      </c>
      <c r="I17" s="1592" cm="1">
        <f t="array" ref="I17">IF(Control!$H$10=Control!$J$10, (INDEX('CC Capital Costs'!$K$40:$O$77, MATCH('Capital Costs - CC'!$S17, 'CC Capital Costs'!$D$40:$D$77, 0),I$10))/1000000, "-")</f>
        <v>299</v>
      </c>
      <c r="J17" s="1592" cm="1">
        <f t="array" ref="J17">IF(Control!$H$10=Control!$J$10, (INDEX('CC Capital Costs'!$K$40:$O$77, MATCH('Capital Costs - CC'!$S17, 'CC Capital Costs'!$D$40:$D$77, 0),J$10))/1000000, "-")</f>
        <v>299</v>
      </c>
      <c r="K17" s="1592" cm="1">
        <f t="array" ref="K17">IF(Control!$H$10=Control!$J$10, (INDEX('CC Capital Costs'!$K$40:$O$77, MATCH('Capital Costs - CC'!$S17, 'CC Capital Costs'!$D$40:$D$77, 0),K$10))/1000000, "-")</f>
        <v>299</v>
      </c>
      <c r="L17" s="1594"/>
      <c r="M17" s="1592" cm="1">
        <f t="array" ref="M17">IF(Control!$H$10=Control!$J$10, (INDEX('CC Capital Costs'!$R$40:$V$77, MATCH('Capital Costs - CC'!$S17, 'CC Capital Costs'!$D$40:$D$77, 0),M$10))/1000000, "-")</f>
        <v>296.17577445278295</v>
      </c>
      <c r="N17" s="1592" cm="1">
        <f t="array" ref="N17">IF(Control!$H$10=Control!$J$10, (INDEX('CC Capital Costs'!$R$40:$V$77, MATCH('Capital Costs - CC'!$S17, 'CC Capital Costs'!$D$40:$D$77, 0),N$10))/1000000, "-")</f>
        <v>296.17577445278295</v>
      </c>
      <c r="O17" s="1592" cm="1">
        <f t="array" ref="O17">IF(Control!$H$10=Control!$J$10, (INDEX('CC Capital Costs'!$R$40:$V$77, MATCH('Capital Costs - CC'!$S17, 'CC Capital Costs'!$D$40:$D$77, 0),O$10))/1000000, "-")</f>
        <v>296.17577445278295</v>
      </c>
      <c r="P17" s="1592" cm="1">
        <f t="array" ref="P17">IF(Control!$H$10=Control!$J$10, (INDEX('CC Capital Costs'!$R$40:$V$77, MATCH('Capital Costs - CC'!$S17, 'CC Capital Costs'!$D$40:$D$77, 0),P$10))/1000000, "-")</f>
        <v>296.17577445278295</v>
      </c>
      <c r="Q17" s="1592" cm="1">
        <f t="array" ref="Q17">IF(Control!$H$10=Control!$J$10, (INDEX('CC Capital Costs'!$R$40:$V$77, MATCH('Capital Costs - CC'!$S17, 'CC Capital Costs'!$D$40:$D$77, 0),Q$10))/1000000, "-")</f>
        <v>296.17577445278295</v>
      </c>
      <c r="R17" s="1414"/>
      <c r="S17" s="76" t="str">
        <f>'CC Capital Costs'!$D41</f>
        <v>Gas Turbines</v>
      </c>
      <c r="T17" s="1454"/>
      <c r="W17" s="1454"/>
      <c r="X17" s="1454"/>
      <c r="Y17" s="1454"/>
      <c r="Z17" s="1454"/>
    </row>
    <row r="18" spans="1:26" ht="15" customHeight="1" x14ac:dyDescent="0.35">
      <c r="A18" s="1421"/>
      <c r="B18" s="1420"/>
      <c r="C18" s="1421"/>
      <c r="D18" s="1889" t="str">
        <f t="shared" ref="D18:D20" si="0">S18</f>
        <v>HRSG / SCR</v>
      </c>
      <c r="E18" s="1941">
        <f>_xlfn.XLOOKUP($D18,'CC Capital Costs'!$D$41:$D$71,'CC Capital Costs'!$H$41:$H$71)</f>
        <v>-9.4455703920304224E-3</v>
      </c>
      <c r="F18" s="1942"/>
      <c r="G18" s="1942" cm="1">
        <f t="array" ref="G18">IF(Control!$H$10=Control!$J$10, (INDEX('CC Capital Costs'!$K$40:$O$77, MATCH('Capital Costs - CC'!$S18, 'CC Capital Costs'!$D$40:$D$77, 0),G$10))/1000000, "-")</f>
        <v>121</v>
      </c>
      <c r="H18" s="1290" cm="1">
        <f t="array" ref="H18">IF(Control!$H$10=Control!$J$10, (INDEX('CC Capital Costs'!$K$40:$O$77, MATCH('Capital Costs - CC'!$S18, 'CC Capital Costs'!$D$40:$D$77, 0),H$10))/1000000, "-")</f>
        <v>121</v>
      </c>
      <c r="I18" s="1291" cm="1">
        <f t="array" ref="I18">IF(Control!$H$10=Control!$J$10, (INDEX('CC Capital Costs'!$K$40:$O$77, MATCH('Capital Costs - CC'!$S18, 'CC Capital Costs'!$D$40:$D$77, 0),I$10))/1000000, "-")</f>
        <v>121</v>
      </c>
      <c r="J18" s="1291" cm="1">
        <f t="array" ref="J18">IF(Control!$H$10=Control!$J$10, (INDEX('CC Capital Costs'!$K$40:$O$77, MATCH('Capital Costs - CC'!$S18, 'CC Capital Costs'!$D$40:$D$77, 0),J$10))/1000000, "-")</f>
        <v>121</v>
      </c>
      <c r="K18" s="1291" cm="1">
        <f t="array" ref="K18">IF(Control!$H$10=Control!$J$10, (INDEX('CC Capital Costs'!$K$40:$O$77, MATCH('Capital Costs - CC'!$S18, 'CC Capital Costs'!$D$40:$D$77, 0),K$10))/1000000, "-")</f>
        <v>121</v>
      </c>
      <c r="L18" s="1292"/>
      <c r="M18" s="1291" cm="1">
        <f t="array" ref="M18">IF(Control!$H$10=Control!$J$10, (INDEX('CC Capital Costs'!$R$40:$V$77, MATCH('Capital Costs - CC'!$S18, 'CC Capital Costs'!$D$40:$D$77, 0),M$10))/1000000, "-")</f>
        <v>119.85708598256431</v>
      </c>
      <c r="N18" s="1291" cm="1">
        <f t="array" ref="N18">IF(Control!$H$10=Control!$J$10, (INDEX('CC Capital Costs'!$R$40:$V$77, MATCH('Capital Costs - CC'!$S18, 'CC Capital Costs'!$D$40:$D$77, 0),N$10))/1000000, "-")</f>
        <v>119.85708598256431</v>
      </c>
      <c r="O18" s="1291" cm="1">
        <f t="array" ref="O18">IF(Control!$H$10=Control!$J$10, (INDEX('CC Capital Costs'!$R$40:$V$77, MATCH('Capital Costs - CC'!$S18, 'CC Capital Costs'!$D$40:$D$77, 0),O$10))/1000000, "-")</f>
        <v>119.85708598256431</v>
      </c>
      <c r="P18" s="1291" cm="1">
        <f t="array" ref="P18">IF(Control!$H$10=Control!$J$10, (INDEX('CC Capital Costs'!$R$40:$V$77, MATCH('Capital Costs - CC'!$S18, 'CC Capital Costs'!$D$40:$D$77, 0),P$10))/1000000, "-")</f>
        <v>119.85708598256431</v>
      </c>
      <c r="Q18" s="1291" cm="1">
        <f t="array" ref="Q18">IF(Control!$H$10=Control!$J$10, (INDEX('CC Capital Costs'!$R$40:$V$77, MATCH('Capital Costs - CC'!$S18, 'CC Capital Costs'!$D$40:$D$77, 0),Q$10))/1000000, "-")</f>
        <v>119.85708598256431</v>
      </c>
      <c r="R18" s="1414"/>
      <c r="S18" s="76" t="str">
        <f>'CC Capital Costs'!$D42</f>
        <v>HRSG / SCR</v>
      </c>
      <c r="T18" s="1454"/>
      <c r="W18" s="1454"/>
      <c r="X18" s="1454"/>
      <c r="Y18" s="1454"/>
      <c r="Z18" s="1454"/>
    </row>
    <row r="19" spans="1:26" ht="15" customHeight="1" x14ac:dyDescent="0.35">
      <c r="A19" s="1421"/>
      <c r="B19" s="1420"/>
      <c r="C19" s="1421"/>
      <c r="D19" s="189" t="str">
        <f t="shared" si="0"/>
        <v>Steam Turbines</v>
      </c>
      <c r="E19" s="1940">
        <f>_xlfn.XLOOKUP($D19,'CC Capital Costs'!$D$41:$D$71,'CC Capital Costs'!$H$41:$H$71)</f>
        <v>-9.4455703920304224E-3</v>
      </c>
      <c r="F19" s="1593"/>
      <c r="G19" s="1593" cm="1">
        <f t="array" ref="G19">IF(Control!$H$10=Control!$J$10, (INDEX('CC Capital Costs'!$K$40:$O$77, MATCH('Capital Costs - CC'!$S19, 'CC Capital Costs'!$D$40:$D$77, 0),G$10))/1000000, "-")</f>
        <v>127</v>
      </c>
      <c r="H19" s="1593" cm="1">
        <f t="array" ref="H19">IF(Control!$H$10=Control!$J$10, (INDEX('CC Capital Costs'!$K$40:$O$77, MATCH('Capital Costs - CC'!$S19, 'CC Capital Costs'!$D$40:$D$77, 0),H$10))/1000000, "-")</f>
        <v>127</v>
      </c>
      <c r="I19" s="1592" cm="1">
        <f t="array" ref="I19">IF(Control!$H$10=Control!$J$10, (INDEX('CC Capital Costs'!$K$40:$O$77, MATCH('Capital Costs - CC'!$S19, 'CC Capital Costs'!$D$40:$D$77, 0),I$10))/1000000, "-")</f>
        <v>127</v>
      </c>
      <c r="J19" s="1592" cm="1">
        <f t="array" ref="J19">IF(Control!$H$10=Control!$J$10, (INDEX('CC Capital Costs'!$K$40:$O$77, MATCH('Capital Costs - CC'!$S19, 'CC Capital Costs'!$D$40:$D$77, 0),J$10))/1000000, "-")</f>
        <v>127</v>
      </c>
      <c r="K19" s="1592" cm="1">
        <f t="array" ref="K19">IF(Control!$H$10=Control!$J$10, (INDEX('CC Capital Costs'!$K$40:$O$77, MATCH('Capital Costs - CC'!$S19, 'CC Capital Costs'!$D$40:$D$77, 0),K$10))/1000000, "-")</f>
        <v>127</v>
      </c>
      <c r="L19" s="1594"/>
      <c r="M19" s="1592" cm="1">
        <f t="array" ref="M19">IF(Control!$H$10=Control!$J$10, (INDEX('CC Capital Costs'!$R$40:$V$77, MATCH('Capital Costs - CC'!$S19, 'CC Capital Costs'!$D$40:$D$77, 0),M$10))/1000000, "-")</f>
        <v>125.80041256021214</v>
      </c>
      <c r="N19" s="1592" cm="1">
        <f t="array" ref="N19">IF(Control!$H$10=Control!$J$10, (INDEX('CC Capital Costs'!$R$40:$V$77, MATCH('Capital Costs - CC'!$S19, 'CC Capital Costs'!$D$40:$D$77, 0),N$10))/1000000, "-")</f>
        <v>125.80041256021214</v>
      </c>
      <c r="O19" s="1592" cm="1">
        <f t="array" ref="O19">IF(Control!$H$10=Control!$J$10, (INDEX('CC Capital Costs'!$R$40:$V$77, MATCH('Capital Costs - CC'!$S19, 'CC Capital Costs'!$D$40:$D$77, 0),O$10))/1000000, "-")</f>
        <v>125.80041256021214</v>
      </c>
      <c r="P19" s="1592" cm="1">
        <f t="array" ref="P19">IF(Control!$H$10=Control!$J$10, (INDEX('CC Capital Costs'!$R$40:$V$77, MATCH('Capital Costs - CC'!$S19, 'CC Capital Costs'!$D$40:$D$77, 0),P$10))/1000000, "-")</f>
        <v>125.80041256021214</v>
      </c>
      <c r="Q19" s="1592" cm="1">
        <f t="array" ref="Q19">IF(Control!$H$10=Control!$J$10, (INDEX('CC Capital Costs'!$R$40:$V$77, MATCH('Capital Costs - CC'!$S19, 'CC Capital Costs'!$D$40:$D$77, 0),Q$10))/1000000, "-")</f>
        <v>125.80041256021214</v>
      </c>
      <c r="R19" s="1414"/>
      <c r="S19" s="76" t="str">
        <f>'CC Capital Costs'!$D43</f>
        <v>Steam Turbines</v>
      </c>
      <c r="T19" s="1454"/>
      <c r="W19" s="1454"/>
      <c r="X19" s="1454"/>
      <c r="Y19" s="1454"/>
      <c r="Z19" s="1454"/>
    </row>
    <row r="20" spans="1:26" ht="15" customHeight="1" x14ac:dyDescent="0.35">
      <c r="A20" s="1421"/>
      <c r="B20" s="1421"/>
      <c r="C20" s="1421"/>
      <c r="D20" s="1887" t="str">
        <f t="shared" si="0"/>
        <v>Sales Tax</v>
      </c>
      <c r="E20" s="1941"/>
      <c r="F20" s="1942"/>
      <c r="G20" s="1942" cm="1">
        <f t="array" ref="G20">IF(Control!$H$10=Control!$J$10, (INDEX('CC Capital Costs'!$K$40:$O$77, MATCH('Capital Costs - CC'!$S20, 'CC Capital Costs'!$D$40:$D$77, 0),G$10))/1000000, "-")</f>
        <v>0</v>
      </c>
      <c r="H20" s="1942" cm="1">
        <f t="array" ref="H20">IF(Control!$H$10=Control!$J$10, (INDEX('CC Capital Costs'!$K$40:$O$77, MATCH('Capital Costs - CC'!$S20, 'CC Capital Costs'!$D$40:$D$77, 0),H$10))/1000000, "-")</f>
        <v>0</v>
      </c>
      <c r="I20" s="1291" cm="1">
        <f t="array" ref="I20">IF(Control!$H$10=Control!$J$10, (INDEX('CC Capital Costs'!$K$40:$O$77, MATCH('Capital Costs - CC'!$S20, 'CC Capital Costs'!$D$40:$D$77, 0),I$10))/1000000, "-")</f>
        <v>0</v>
      </c>
      <c r="J20" s="1291" cm="1">
        <f t="array" ref="J20">IF(Control!$H$10=Control!$J$10, (INDEX('CC Capital Costs'!$K$40:$O$77, MATCH('Capital Costs - CC'!$S20, 'CC Capital Costs'!$D$40:$D$77, 0),J$10))/1000000, "-")</f>
        <v>0</v>
      </c>
      <c r="K20" s="1291" cm="1">
        <f t="array" ref="K20">IF(Control!$H$10=Control!$J$10, (INDEX('CC Capital Costs'!$K$40:$O$77, MATCH('Capital Costs - CC'!$S20, 'CC Capital Costs'!$D$40:$D$77, 0),K$10))/1000000, "-")</f>
        <v>34.1875</v>
      </c>
      <c r="L20" s="1292"/>
      <c r="M20" s="1291" cm="1">
        <f t="array" ref="M20">IF(Control!$H$10=Control!$J$10, (INDEX('CC Capital Costs'!$R$40:$V$77, MATCH('Capital Costs - CC'!$S20, 'CC Capital Costs'!$D$40:$D$77, 0),M$10))/1000000, "-")</f>
        <v>0</v>
      </c>
      <c r="N20" s="1291" cm="1">
        <f t="array" ref="N20">IF(Control!$H$10=Control!$J$10, (INDEX('CC Capital Costs'!$R$40:$V$77, MATCH('Capital Costs - CC'!$S20, 'CC Capital Costs'!$D$40:$D$77, 0),N$10))/1000000, "-")</f>
        <v>0</v>
      </c>
      <c r="O20" s="1291" cm="1">
        <f t="array" ref="O20">IF(Control!$H$10=Control!$J$10, (INDEX('CC Capital Costs'!$R$40:$V$77, MATCH('Capital Costs - CC'!$S20, 'CC Capital Costs'!$D$40:$D$77, 0),O$10))/1000000, "-")</f>
        <v>0</v>
      </c>
      <c r="P20" s="1291" cm="1">
        <f t="array" ref="P20">IF(Control!$H$10=Control!$J$10, (INDEX('CC Capital Costs'!$R$40:$V$77, MATCH('Capital Costs - CC'!$S20, 'CC Capital Costs'!$D$40:$D$77, 0),P$10))/1000000, "-")</f>
        <v>0</v>
      </c>
      <c r="Q20" s="1291" cm="1">
        <f t="array" ref="Q20">IF(Control!$H$10=Control!$J$10, (INDEX('CC Capital Costs'!$R$40:$V$77, MATCH('Capital Costs - CC'!$S20, 'CC Capital Costs'!$D$40:$D$77, 0),Q$10))/1000000, "-")</f>
        <v>33.864579562222467</v>
      </c>
      <c r="R20" s="1414"/>
      <c r="S20" s="76" t="str">
        <f>'CC Capital Costs'!$D44</f>
        <v>Sales Tax</v>
      </c>
      <c r="T20" s="1454"/>
      <c r="W20" s="1454"/>
      <c r="X20" s="1454"/>
      <c r="Y20" s="1454"/>
      <c r="Z20" s="1454"/>
    </row>
    <row r="21" spans="1:26" ht="6" customHeight="1" x14ac:dyDescent="0.35">
      <c r="A21" s="1437"/>
      <c r="B21" s="1437"/>
      <c r="C21" s="1437"/>
      <c r="D21" s="1950"/>
      <c r="E21" s="1595"/>
      <c r="F21" s="1951"/>
      <c r="G21" s="1951"/>
      <c r="H21" s="1951"/>
      <c r="I21" s="1952"/>
      <c r="J21" s="1952"/>
      <c r="K21" s="1952"/>
      <c r="L21" s="1953"/>
      <c r="M21" s="1952"/>
      <c r="N21" s="1952"/>
      <c r="O21" s="1952"/>
      <c r="P21" s="1952"/>
      <c r="Q21" s="1952"/>
      <c r="R21" s="1459"/>
      <c r="S21" s="76"/>
      <c r="T21" s="1455"/>
      <c r="U21" s="1415"/>
      <c r="V21" s="1415"/>
      <c r="W21" s="1455"/>
      <c r="X21" s="1455"/>
      <c r="Y21" s="1455"/>
      <c r="Z21" s="1455"/>
    </row>
    <row r="22" spans="1:26" ht="15" customHeight="1" x14ac:dyDescent="0.35">
      <c r="A22" s="1421"/>
      <c r="B22" s="1421"/>
      <c r="C22" s="1421"/>
      <c r="D22" s="1442" t="s">
        <v>657</v>
      </c>
      <c r="E22" s="1471"/>
      <c r="F22" s="1472"/>
      <c r="G22" s="1472"/>
      <c r="H22" s="1472"/>
      <c r="I22" s="1436"/>
      <c r="J22" s="1436"/>
      <c r="K22" s="1436"/>
      <c r="L22" s="1473"/>
      <c r="M22" s="1436"/>
      <c r="N22" s="1436"/>
      <c r="O22" s="1436"/>
      <c r="P22" s="1436"/>
      <c r="Q22" s="1436"/>
      <c r="R22" s="1414"/>
      <c r="S22" s="76"/>
      <c r="T22" s="1454"/>
      <c r="W22" s="1454"/>
      <c r="X22" s="1454"/>
      <c r="Y22" s="1454"/>
      <c r="Z22" s="1454"/>
    </row>
    <row r="23" spans="1:26" ht="15" customHeight="1" x14ac:dyDescent="0.35">
      <c r="A23" s="1421"/>
      <c r="B23" s="1421"/>
      <c r="C23" s="1421"/>
      <c r="D23" s="1889" t="s">
        <v>101</v>
      </c>
      <c r="E23" s="1941"/>
      <c r="F23" s="1290"/>
      <c r="G23" s="1290"/>
      <c r="H23" s="1290"/>
      <c r="I23" s="1291"/>
      <c r="J23" s="1291"/>
      <c r="K23" s="1291"/>
      <c r="L23" s="1292"/>
      <c r="M23" s="1291"/>
      <c r="N23" s="1291"/>
      <c r="O23" s="1291"/>
      <c r="P23" s="1291"/>
      <c r="Q23" s="1291"/>
      <c r="R23" s="1414"/>
      <c r="S23" s="76"/>
      <c r="T23" s="1454"/>
      <c r="W23" s="1454"/>
      <c r="X23" s="1454"/>
      <c r="Y23" s="1454"/>
      <c r="Z23" s="1454"/>
    </row>
    <row r="24" spans="1:26" ht="15" customHeight="1" x14ac:dyDescent="0.35">
      <c r="A24" s="1421"/>
      <c r="B24" s="1420"/>
      <c r="C24" s="1421"/>
      <c r="D24" s="1954" t="str">
        <f t="shared" ref="D24:D31" si="1">S24</f>
        <v>Condenser</v>
      </c>
      <c r="E24" s="1940">
        <f>_xlfn.XLOOKUP($D24,'CC Capital Costs'!$D$41:$D$71,'CC Capital Costs'!$H$41:$H$71)</f>
        <v>-9.4455703920304224E-3</v>
      </c>
      <c r="F24" s="1593"/>
      <c r="G24" s="1593" cm="1">
        <f t="array" ref="G24">IF(Control!$H$10=Control!$J$10, (INDEX('CC Capital Costs'!$K$40:$O$77, MATCH('Capital Costs - CC'!$S24, 'CC Capital Costs'!$D$40:$D$77, 0),G$10))/1000000, "-")</f>
        <v>72.305000000000007</v>
      </c>
      <c r="H24" s="1593" cm="1">
        <f t="array" ref="H24">IF(Control!$H$10=Control!$J$10, (INDEX('CC Capital Costs'!$K$40:$O$77, MATCH('Capital Costs - CC'!$S24, 'CC Capital Costs'!$D$40:$D$77, 0),H$10))/1000000, "-")</f>
        <v>72.305000000000007</v>
      </c>
      <c r="I24" s="1592" cm="1">
        <f t="array" ref="I24">IF(Control!$H$10=Control!$J$10, (INDEX('CC Capital Costs'!$K$40:$O$77, MATCH('Capital Costs - CC'!$S24, 'CC Capital Costs'!$D$40:$D$77, 0),I$10))/1000000, "-")</f>
        <v>72.305000000000007</v>
      </c>
      <c r="J24" s="1592" cm="1">
        <f t="array" ref="J24">IF(Control!$H$10=Control!$J$10, (INDEX('CC Capital Costs'!$K$40:$O$77, MATCH('Capital Costs - CC'!$S24, 'CC Capital Costs'!$D$40:$D$77, 0),J$10))/1000000, "-")</f>
        <v>72.305000000000007</v>
      </c>
      <c r="K24" s="1592" cm="1">
        <f t="array" ref="K24">IF(Control!$H$10=Control!$J$10, (INDEX('CC Capital Costs'!$K$40:$O$77, MATCH('Capital Costs - CC'!$S24, 'CC Capital Costs'!$D$40:$D$77, 0),K$10))/1000000, "-")</f>
        <v>72.305000000000007</v>
      </c>
      <c r="L24" s="1594"/>
      <c r="M24" s="1592" cm="1">
        <f t="array" ref="M24">IF(Control!$H$10=Control!$J$10, (INDEX('CC Capital Costs'!$R$48:$V$77, MATCH('Capital Costs - CC'!$S24, 'CC Capital Costs'!$D$48:$D$77, 0),M$10))/1000000, "-")</f>
        <v>71.622038032804241</v>
      </c>
      <c r="N24" s="1592" cm="1">
        <f t="array" ref="N24">IF(Control!$H$10=Control!$J$10, (INDEX('CC Capital Costs'!$R$48:$V$77, MATCH('Capital Costs - CC'!$S24, 'CC Capital Costs'!$D$48:$D$77, 0),N$10))/1000000, "-")</f>
        <v>71.622038032804241</v>
      </c>
      <c r="O24" s="1592" cm="1">
        <f t="array" ref="O24">IF(Control!$H$10=Control!$J$10, (INDEX('CC Capital Costs'!$R$48:$V$77, MATCH('Capital Costs - CC'!$S24, 'CC Capital Costs'!$D$48:$D$77, 0),O$10))/1000000, "-")</f>
        <v>71.622038032804241</v>
      </c>
      <c r="P24" s="1592" cm="1">
        <f t="array" ref="P24">IF(Control!$H$10=Control!$J$10, (INDEX('CC Capital Costs'!$R$48:$V$77, MATCH('Capital Costs - CC'!$S24, 'CC Capital Costs'!$D$48:$D$77, 0),P$10))/1000000, "-")</f>
        <v>71.622038032804241</v>
      </c>
      <c r="Q24" s="1592" cm="1">
        <f t="array" ref="Q24">IF(Control!$H$10=Control!$J$10, (INDEX('CC Capital Costs'!$R$48:$V$77, MATCH('Capital Costs - CC'!$S24, 'CC Capital Costs'!$D$48:$D$77, 0),Q$10))/1000000, "-")</f>
        <v>71.622038032804241</v>
      </c>
      <c r="R24" s="1414"/>
      <c r="S24" s="76" t="str">
        <f>'CC Capital Costs'!$D48</f>
        <v>Condenser</v>
      </c>
      <c r="T24" s="1454"/>
      <c r="W24" s="1454"/>
      <c r="X24" s="1454"/>
      <c r="Y24" s="1454"/>
      <c r="Z24" s="1454"/>
    </row>
    <row r="25" spans="1:26" ht="15" customHeight="1" x14ac:dyDescent="0.35">
      <c r="A25" s="1421"/>
      <c r="B25" s="1420"/>
      <c r="C25" s="1421"/>
      <c r="D25" s="1886" t="str">
        <f t="shared" si="1"/>
        <v>Other Equipment</v>
      </c>
      <c r="E25" s="1941">
        <f>_xlfn.XLOOKUP($D25,'CC Capital Costs'!$D$41:$D$71,'CC Capital Costs'!$H$41:$H$71)</f>
        <v>-9.4455703920304224E-3</v>
      </c>
      <c r="F25" s="1290"/>
      <c r="G25" s="1290" cm="1">
        <f t="array" ref="G25">IF(Control!$H$10=Control!$J$10, (INDEX('CC Capital Costs'!$K$40:$O$77, MATCH('Capital Costs - CC'!$S25, 'CC Capital Costs'!$D$40:$D$77, 0),G$10))/1000000, "-")</f>
        <v>105.006</v>
      </c>
      <c r="H25" s="1290" cm="1">
        <f t="array" ref="H25">IF(Control!$H$10=Control!$J$10, (INDEX('CC Capital Costs'!$K$40:$O$77, MATCH('Capital Costs - CC'!$S25, 'CC Capital Costs'!$D$40:$D$77, 0),H$10))/1000000, "-")</f>
        <v>105.006</v>
      </c>
      <c r="I25" s="1291" cm="1">
        <f t="array" ref="I25">IF(Control!$H$10=Control!$J$10, (INDEX('CC Capital Costs'!$K$40:$O$77, MATCH('Capital Costs - CC'!$S25, 'CC Capital Costs'!$D$40:$D$77, 0),I$10))/1000000, "-")</f>
        <v>105.006</v>
      </c>
      <c r="J25" s="1291" cm="1">
        <f t="array" ref="J25">IF(Control!$H$10=Control!$J$10, (INDEX('CC Capital Costs'!$K$40:$O$77, MATCH('Capital Costs - CC'!$S25, 'CC Capital Costs'!$D$40:$D$77, 0),J$10))/1000000, "-")</f>
        <v>105.006</v>
      </c>
      <c r="K25" s="1291" cm="1">
        <f t="array" ref="K25">IF(Control!$H$10=Control!$J$10, (INDEX('CC Capital Costs'!$K$40:$O$77, MATCH('Capital Costs - CC'!$S25, 'CC Capital Costs'!$D$40:$D$77, 0),K$10))/1000000, "-")</f>
        <v>105.006</v>
      </c>
      <c r="L25" s="1292"/>
      <c r="M25" s="1291" cm="1">
        <f t="array" ref="M25">IF(Control!$H$10=Control!$J$10, (INDEX('CC Capital Costs'!$R$48:$V$77, MATCH('Capital Costs - CC'!$S25, 'CC Capital Costs'!$D$48:$D$77, 0),M$10))/1000000, "-")</f>
        <v>104.01415843541444</v>
      </c>
      <c r="N25" s="1291" cm="1">
        <f t="array" ref="N25">IF(Control!$H$10=Control!$J$10, (INDEX('CC Capital Costs'!$R$48:$V$77, MATCH('Capital Costs - CC'!$S25, 'CC Capital Costs'!$D$48:$D$77, 0),N$10))/1000000, "-")</f>
        <v>104.01415843541444</v>
      </c>
      <c r="O25" s="1291" cm="1">
        <f t="array" ref="O25">IF(Control!$H$10=Control!$J$10, (INDEX('CC Capital Costs'!$R$48:$V$77, MATCH('Capital Costs - CC'!$S25, 'CC Capital Costs'!$D$48:$D$77, 0),O$10))/1000000, "-")</f>
        <v>104.01415843541444</v>
      </c>
      <c r="P25" s="1291" cm="1">
        <f t="array" ref="P25">IF(Control!$H$10=Control!$J$10, (INDEX('CC Capital Costs'!$R$48:$V$77, MATCH('Capital Costs - CC'!$S25, 'CC Capital Costs'!$D$48:$D$77, 0),P$10))/1000000, "-")</f>
        <v>104.01415843541444</v>
      </c>
      <c r="Q25" s="1291" cm="1">
        <f t="array" ref="Q25">IF(Control!$H$10=Control!$J$10, (INDEX('CC Capital Costs'!$R$48:$V$77, MATCH('Capital Costs - CC'!$S25, 'CC Capital Costs'!$D$48:$D$77, 0),Q$10))/1000000, "-")</f>
        <v>104.01415843541444</v>
      </c>
      <c r="R25" s="1414"/>
      <c r="S25" s="76" t="str">
        <f>'CC Capital Costs'!$D49</f>
        <v>Other Equipment</v>
      </c>
      <c r="T25" s="1454"/>
      <c r="W25" s="1454"/>
      <c r="X25" s="1454"/>
      <c r="Y25" s="1454"/>
      <c r="Z25" s="1454"/>
    </row>
    <row r="26" spans="1:26" ht="15" customHeight="1" x14ac:dyDescent="0.35">
      <c r="A26" s="1421"/>
      <c r="B26" s="1420"/>
      <c r="C26" s="1421"/>
      <c r="D26" s="1955" t="str">
        <f t="shared" si="1"/>
        <v>Construction Labor</v>
      </c>
      <c r="E26" s="1940">
        <f>_xlfn.XLOOKUP($D26,'CC Capital Costs'!$D$41:$D$71,'CC Capital Costs'!$H$41:$H$71)</f>
        <v>1.5848171090196317E-2</v>
      </c>
      <c r="F26" s="1593"/>
      <c r="G26" s="1593" cm="1">
        <f t="array" ref="G26">IF(Control!$H$10=Control!$J$10, (INDEX('CC Capital Costs'!$K$40:$O$77, MATCH('Capital Costs - CC'!$S26, 'CC Capital Costs'!$D$40:$D$77, 0),G$10))/1000000, "-")</f>
        <v>488.85</v>
      </c>
      <c r="H26" s="1593" cm="1">
        <f t="array" ref="H26">IF(Control!$H$10=Control!$J$10, (INDEX('CC Capital Costs'!$K$40:$O$77, MATCH('Capital Costs - CC'!$S26, 'CC Capital Costs'!$D$40:$D$77, 0),H$10))/1000000, "-")</f>
        <v>388.52100000000002</v>
      </c>
      <c r="I26" s="1592" cm="1">
        <f t="array" ref="I26">IF(Control!$H$10=Control!$J$10, (INDEX('CC Capital Costs'!$K$40:$O$77, MATCH('Capital Costs - CC'!$S26, 'CC Capital Costs'!$D$40:$D$77, 0),I$10))/1000000, "-")</f>
        <v>389.57600000000002</v>
      </c>
      <c r="J26" s="1592" cm="1">
        <f t="array" ref="J26">IF(Control!$H$10=Control!$J$10, (INDEX('CC Capital Costs'!$K$40:$O$77, MATCH('Capital Costs - CC'!$S26, 'CC Capital Costs'!$D$40:$D$77, 0),J$10))/1000000, "-")</f>
        <v>430.24799999999999</v>
      </c>
      <c r="K26" s="1592" cm="1">
        <f t="array" ref="K26">IF(Control!$H$10=Control!$J$10, (INDEX('CC Capital Costs'!$K$40:$O$77, MATCH('Capital Costs - CC'!$S26, 'CC Capital Costs'!$D$40:$D$77, 0),K$10))/1000000, "-")</f>
        <v>561.51400000000001</v>
      </c>
      <c r="L26" s="1594"/>
      <c r="M26" s="1592" cm="1">
        <f t="array" ref="M26">IF(Control!$H$10=Control!$J$10, (INDEX('CC Capital Costs'!$R$48:$V$77, MATCH('Capital Costs - CC'!$S26, 'CC Capital Costs'!$D$48:$D$77, 0),M$10))/1000000, "-")</f>
        <v>496.5973784374425</v>
      </c>
      <c r="N26" s="1592" cm="1">
        <f t="array" ref="N26">IF(Control!$H$10=Control!$J$10, (INDEX('CC Capital Costs'!$R$48:$V$77, MATCH('Capital Costs - CC'!$S26, 'CC Capital Costs'!$D$48:$D$77, 0),N$10))/1000000, "-")</f>
        <v>394.67834728013412</v>
      </c>
      <c r="O26" s="1592" cm="1">
        <f t="array" ref="O26">IF(Control!$H$10=Control!$J$10, (INDEX('CC Capital Costs'!$R$48:$V$77, MATCH('Capital Costs - CC'!$S26, 'CC Capital Costs'!$D$48:$D$77, 0),O$10))/1000000, "-")</f>
        <v>395.75006710063434</v>
      </c>
      <c r="P26" s="1592" cm="1">
        <f t="array" ref="P26">IF(Control!$H$10=Control!$J$10, (INDEX('CC Capital Costs'!$R$48:$V$77, MATCH('Capital Costs - CC'!$S26, 'CC Capital Costs'!$D$48:$D$77, 0),P$10))/1000000, "-")</f>
        <v>437.0666439152148</v>
      </c>
      <c r="Q26" s="1592" cm="1">
        <f t="array" ref="Q26">IF(Control!$H$10=Control!$J$10, (INDEX('CC Capital Costs'!$R$48:$V$77, MATCH('Capital Costs - CC'!$S26, 'CC Capital Costs'!$D$48:$D$77, 0),Q$10))/1000000, "-")</f>
        <v>570.4129699415405</v>
      </c>
      <c r="R26" s="1414"/>
      <c r="S26" s="76" t="str">
        <f>'CC Capital Costs'!$D50</f>
        <v>Construction Labor</v>
      </c>
      <c r="T26" s="1454"/>
      <c r="W26" s="1454"/>
      <c r="X26" s="1454"/>
      <c r="Y26" s="1454"/>
      <c r="Z26" s="1454"/>
    </row>
    <row r="27" spans="1:26" ht="15" customHeight="1" x14ac:dyDescent="0.35">
      <c r="A27" s="1421"/>
      <c r="B27" s="1420"/>
      <c r="C27" s="1421"/>
      <c r="D27" s="1889" t="str">
        <f t="shared" si="1"/>
        <v xml:space="preserve">Other Labor </v>
      </c>
      <c r="E27" s="1941">
        <f>_xlfn.XLOOKUP($D27,'CC Capital Costs'!$D$41:$D$71,'CC Capital Costs'!$H$41:$H$71)</f>
        <v>1.5848171090196317E-2</v>
      </c>
      <c r="F27" s="1290"/>
      <c r="G27" s="1290" cm="1">
        <f t="array" ref="G27">IF(Control!$H$10=Control!$J$10, (INDEX('CC Capital Costs'!$K$40:$O$77, MATCH('Capital Costs - CC'!$S27, 'CC Capital Costs'!$D$40:$D$77, 0),G$10))/1000000, "-")</f>
        <v>73.741</v>
      </c>
      <c r="H27" s="1290" cm="1">
        <f t="array" ref="H27">IF(Control!$H$10=Control!$J$10, (INDEX('CC Capital Costs'!$K$40:$O$77, MATCH('Capital Costs - CC'!$S27, 'CC Capital Costs'!$D$40:$D$77, 0),H$10))/1000000, "-")</f>
        <v>69.225999999999999</v>
      </c>
      <c r="I27" s="1291" cm="1">
        <f t="array" ref="I27">IF(Control!$H$10=Control!$J$10, (INDEX('CC Capital Costs'!$K$40:$O$77, MATCH('Capital Costs - CC'!$S27, 'CC Capital Costs'!$D$40:$D$77, 0),I$10))/1000000, "-")</f>
        <v>69.274000000000001</v>
      </c>
      <c r="J27" s="1291" cm="1">
        <f t="array" ref="J27">IF(Control!$H$10=Control!$J$10, (INDEX('CC Capital Costs'!$K$40:$O$77, MATCH('Capital Costs - CC'!$S27, 'CC Capital Costs'!$D$40:$D$77, 0),J$10))/1000000, "-")</f>
        <v>71.103999999999999</v>
      </c>
      <c r="K27" s="1291" cm="1">
        <f t="array" ref="K27">IF(Control!$H$10=Control!$J$10, (INDEX('CC Capital Costs'!$K$40:$O$77, MATCH('Capital Costs - CC'!$S27, 'CC Capital Costs'!$D$40:$D$77, 0),K$10))/1000000, "-")</f>
        <v>77.010999999999996</v>
      </c>
      <c r="L27" s="1292"/>
      <c r="M27" s="1291" cm="1">
        <f t="array" ref="M27">IF(Control!$H$10=Control!$J$10, (INDEX('CC Capital Costs'!$R$48:$V$77, MATCH('Capital Costs - CC'!$S27, 'CC Capital Costs'!$D$48:$D$77, 0),M$10))/1000000, "-")</f>
        <v>74.909659984362165</v>
      </c>
      <c r="N27" s="1291" cm="1">
        <f t="array" ref="N27">IF(Control!$H$10=Control!$J$10, (INDEX('CC Capital Costs'!$R$48:$V$77, MATCH('Capital Costs - CC'!$S27, 'CC Capital Costs'!$D$48:$D$77, 0),N$10))/1000000, "-")</f>
        <v>70.323105491889919</v>
      </c>
      <c r="O27" s="1291" cm="1">
        <f t="array" ref="O27">IF(Control!$H$10=Control!$J$10, (INDEX('CC Capital Costs'!$R$48:$V$77, MATCH('Capital Costs - CC'!$S27, 'CC Capital Costs'!$D$48:$D$77, 0),O$10))/1000000, "-")</f>
        <v>70.371866204102261</v>
      </c>
      <c r="P27" s="1291" cm="1">
        <f t="array" ref="P27">IF(Control!$H$10=Control!$J$10, (INDEX('CC Capital Costs'!$R$48:$V$77, MATCH('Capital Costs - CC'!$S27, 'CC Capital Costs'!$D$48:$D$77, 0),P$10))/1000000, "-")</f>
        <v>72.230868357197309</v>
      </c>
      <c r="Q27" s="1291" cm="1">
        <f t="array" ref="Q27">IF(Control!$H$10=Control!$J$10, (INDEX('CC Capital Costs'!$R$48:$V$77, MATCH('Capital Costs - CC'!$S27, 'CC Capital Costs'!$D$48:$D$77, 0),Q$10))/1000000, "-")</f>
        <v>78.231483503827107</v>
      </c>
      <c r="R27" s="1414"/>
      <c r="S27" s="76" t="str">
        <f>'CC Capital Costs'!$D51</f>
        <v xml:space="preserve">Other Labor </v>
      </c>
      <c r="T27" s="1454"/>
      <c r="W27" s="1454"/>
      <c r="X27" s="1454"/>
      <c r="Y27" s="1454"/>
      <c r="Z27" s="1454"/>
    </row>
    <row r="28" spans="1:26" ht="15" customHeight="1" x14ac:dyDescent="0.35">
      <c r="A28" s="1421"/>
      <c r="B28" s="1420"/>
      <c r="C28" s="1421"/>
      <c r="D28" s="1955" t="str">
        <f t="shared" si="1"/>
        <v>Materials</v>
      </c>
      <c r="E28" s="1940">
        <f>_xlfn.XLOOKUP($D28,'CC Capital Costs'!$D$41:$D$71,'CC Capital Costs'!$H$41:$H$71)</f>
        <v>1.5848171090196317E-2</v>
      </c>
      <c r="F28" s="1593"/>
      <c r="G28" s="1593" cm="1">
        <f t="array" ref="G28">IF(Control!$H$10=Control!$J$10, (INDEX('CC Capital Costs'!$K$40:$O$77, MATCH('Capital Costs - CC'!$S28, 'CC Capital Costs'!$D$40:$D$77, 0),G$10))/1000000, "-")</f>
        <v>100.777</v>
      </c>
      <c r="H28" s="1593" cm="1">
        <f t="array" ref="H28">IF(Control!$H$10=Control!$J$10, (INDEX('CC Capital Costs'!$K$40:$O$77, MATCH('Capital Costs - CC'!$S28, 'CC Capital Costs'!$D$40:$D$77, 0),H$10))/1000000, "-")</f>
        <v>100.777</v>
      </c>
      <c r="I28" s="1592" cm="1">
        <f t="array" ref="I28">IF(Control!$H$10=Control!$J$10, (INDEX('CC Capital Costs'!$K$40:$O$77, MATCH('Capital Costs - CC'!$S28, 'CC Capital Costs'!$D$40:$D$77, 0),I$10))/1000000, "-")</f>
        <v>100.777</v>
      </c>
      <c r="J28" s="1592" cm="1">
        <f t="array" ref="J28">IF(Control!$H$10=Control!$J$10, (INDEX('CC Capital Costs'!$K$40:$O$77, MATCH('Capital Costs - CC'!$S28, 'CC Capital Costs'!$D$40:$D$77, 0),J$10))/1000000, "-")</f>
        <v>100.777</v>
      </c>
      <c r="K28" s="1592" cm="1">
        <f t="array" ref="K28">IF(Control!$H$10=Control!$J$10, (INDEX('CC Capital Costs'!$K$40:$O$77, MATCH('Capital Costs - CC'!$S28, 'CC Capital Costs'!$D$40:$D$77, 0),K$10))/1000000, "-")</f>
        <v>100.777</v>
      </c>
      <c r="L28" s="1594"/>
      <c r="M28" s="1592" cm="1">
        <f t="array" ref="M28">IF(Control!$H$10=Control!$J$10, (INDEX('CC Capital Costs'!$R$48:$V$77, MATCH('Capital Costs - CC'!$S28, 'CC Capital Costs'!$D$48:$D$77, 0),M$10))/1000000, "-")</f>
        <v>102.37413113795671</v>
      </c>
      <c r="N28" s="1592" cm="1">
        <f t="array" ref="N28">IF(Control!$H$10=Control!$J$10, (INDEX('CC Capital Costs'!$R$48:$V$77, MATCH('Capital Costs - CC'!$S28, 'CC Capital Costs'!$D$48:$D$77, 0),N$10))/1000000, "-")</f>
        <v>102.37413113795671</v>
      </c>
      <c r="O28" s="1592" cm="1">
        <f t="array" ref="O28">IF(Control!$H$10=Control!$J$10, (INDEX('CC Capital Costs'!$R$48:$V$77, MATCH('Capital Costs - CC'!$S28, 'CC Capital Costs'!$D$48:$D$77, 0),O$10))/1000000, "-")</f>
        <v>102.37413113795671</v>
      </c>
      <c r="P28" s="1592" cm="1">
        <f t="array" ref="P28">IF(Control!$H$10=Control!$J$10, (INDEX('CC Capital Costs'!$R$48:$V$77, MATCH('Capital Costs - CC'!$S28, 'CC Capital Costs'!$D$48:$D$77, 0),P$10))/1000000, "-")</f>
        <v>102.37413113795671</v>
      </c>
      <c r="Q28" s="1592" cm="1">
        <f t="array" ref="Q28">IF(Control!$H$10=Control!$J$10, (INDEX('CC Capital Costs'!$R$48:$V$77, MATCH('Capital Costs - CC'!$S28, 'CC Capital Costs'!$D$48:$D$77, 0),Q$10))/1000000, "-")</f>
        <v>102.37413113795671</v>
      </c>
      <c r="R28" s="1414"/>
      <c r="S28" s="76" t="str">
        <f>'CC Capital Costs'!$D52</f>
        <v>Materials</v>
      </c>
      <c r="T28" s="1454"/>
      <c r="W28" s="1454"/>
      <c r="X28" s="1454"/>
      <c r="Y28" s="1454"/>
      <c r="Z28" s="1454"/>
    </row>
    <row r="29" spans="1:26" ht="15" customHeight="1" x14ac:dyDescent="0.35">
      <c r="A29" s="1421"/>
      <c r="B29" s="1421"/>
      <c r="C29" s="1421"/>
      <c r="D29" s="1889" t="str">
        <f t="shared" si="1"/>
        <v>Sales Tax</v>
      </c>
      <c r="E29" s="1941"/>
      <c r="F29" s="1290"/>
      <c r="G29" s="1290" cm="1">
        <f t="array" ref="G29">IF(Control!$H$10=Control!$J$10, (INDEX('CC Capital Costs'!$K$40:$O$77, MATCH('Capital Costs - CC'!$S29, 'CC Capital Costs'!$D$40:$D$77, 0),G$10))/1000000, "-")</f>
        <v>0</v>
      </c>
      <c r="H29" s="1290" cm="1">
        <f t="array" ref="H29">IF(Control!$H$10=Control!$J$10, (INDEX('CC Capital Costs'!$K$40:$O$77, MATCH('Capital Costs - CC'!$S29, 'CC Capital Costs'!$D$40:$D$77, 0),H$10))/1000000, "-")</f>
        <v>0</v>
      </c>
      <c r="I29" s="1291" cm="1">
        <f t="array" ref="I29">IF(Control!$H$10=Control!$J$10, (INDEX('CC Capital Costs'!$K$40:$O$77, MATCH('Capital Costs - CC'!$S29, 'CC Capital Costs'!$D$40:$D$77, 0),I$10))/1000000, "-")</f>
        <v>0</v>
      </c>
      <c r="J29" s="1291" cm="1">
        <f t="array" ref="J29">IF(Control!$H$10=Control!$J$10, (INDEX('CC Capital Costs'!$K$40:$O$77, MATCH('Capital Costs - CC'!$S29, 'CC Capital Costs'!$D$40:$D$77, 0),J$10))/1000000, "-")</f>
        <v>0</v>
      </c>
      <c r="K29" s="1291" cm="1">
        <f t="array" ref="K29">IF(Control!$H$10=Control!$J$10, (INDEX('CC Capital Costs'!$K$40:$O$77, MATCH('Capital Costs - CC'!$S29, 'CC Capital Costs'!$D$40:$D$77, 0),K$10))/1000000, "-")</f>
        <v>34.1875</v>
      </c>
      <c r="L29" s="1292"/>
      <c r="M29" s="1291" cm="1">
        <f t="array" ref="M29">IF(Control!$H$10=Control!$J$10, (INDEX('CC Capital Costs'!$R$48:$V$77, MATCH('Capital Costs - CC'!$S29, 'CC Capital Costs'!$D$48:$D$77, 0),M$10))/1000000, "-")</f>
        <v>0</v>
      </c>
      <c r="N29" s="1291" cm="1">
        <f t="array" ref="N29">IF(Control!$H$10=Control!$J$10, (INDEX('CC Capital Costs'!$R$48:$V$77, MATCH('Capital Costs - CC'!$S29, 'CC Capital Costs'!$D$48:$D$77, 0),N$10))/1000000, "-")</f>
        <v>0</v>
      </c>
      <c r="O29" s="1291" cm="1">
        <f t="array" ref="O29">IF(Control!$H$10=Control!$J$10, (INDEX('CC Capital Costs'!$R$48:$V$77, MATCH('Capital Costs - CC'!$S29, 'CC Capital Costs'!$D$48:$D$77, 0),O$10))/1000000, "-")</f>
        <v>0</v>
      </c>
      <c r="P29" s="1291" cm="1">
        <f t="array" ref="P29">IF(Control!$H$10=Control!$J$10, (INDEX('CC Capital Costs'!$R$48:$V$77, MATCH('Capital Costs - CC'!$S29, 'CC Capital Costs'!$D$48:$D$77, 0),P$10))/1000000, "-")</f>
        <v>0</v>
      </c>
      <c r="Q29" s="1291" cm="1">
        <f t="array" ref="Q29">IF(Control!$H$10=Control!$J$10, (INDEX('CC Capital Costs'!$R$48:$V$77, MATCH('Capital Costs - CC'!$S29, 'CC Capital Costs'!$D$48:$D$77, 0),Q$10))/1000000, "-")</f>
        <v>10.977262279263668</v>
      </c>
      <c r="R29" s="1414"/>
      <c r="S29" s="76" t="str">
        <f>'CC Capital Costs'!$D53</f>
        <v>Sales Tax</v>
      </c>
      <c r="T29" s="1454"/>
      <c r="W29" s="1454"/>
      <c r="X29" s="1454"/>
      <c r="Y29" s="1454"/>
      <c r="Z29" s="1454"/>
    </row>
    <row r="30" spans="1:26" ht="15" customHeight="1" x14ac:dyDescent="0.35">
      <c r="A30" s="1421"/>
      <c r="B30" s="1421"/>
      <c r="C30" s="1421"/>
      <c r="D30" s="189" t="str">
        <f t="shared" si="1"/>
        <v>EPC Contractor Fee</v>
      </c>
      <c r="E30" s="1940" t="str">
        <f>_xlfn.XLOOKUP($D30,'CC Capital Costs'!$D$41:$D$71,'CC Capital Costs'!$H$41:$H$71)</f>
        <v/>
      </c>
      <c r="F30" s="1593"/>
      <c r="G30" s="1593" cm="1">
        <f t="array" ref="G30">IF(Control!$H$10=Control!$J$10, (INDEX('CC Capital Costs'!$K$40:$O$77, MATCH('Capital Costs - CC'!$S30, 'CC Capital Costs'!$D$40:$D$77, 0),G$10))/1000000, "-")</f>
        <v>138.7679</v>
      </c>
      <c r="H30" s="1593" cm="1">
        <f t="array" ref="H30">IF(Control!$H$10=Control!$J$10, (INDEX('CC Capital Costs'!$K$40:$O$77, MATCH('Capital Costs - CC'!$S30, 'CC Capital Costs'!$D$40:$D$77, 0),H$10))/1000000, "-")</f>
        <v>128.2835</v>
      </c>
      <c r="I30" s="1592" cm="1">
        <f t="array" ref="I30">IF(Control!$H$10=Control!$J$10, (INDEX('CC Capital Costs'!$K$40:$O$77, MATCH('Capital Costs - CC'!$S30, 'CC Capital Costs'!$D$40:$D$77, 0),I$10))/1000000, "-")</f>
        <v>128.3938</v>
      </c>
      <c r="J30" s="1592" cm="1">
        <f t="array" ref="J30">IF(Control!$H$10=Control!$J$10, (INDEX('CC Capital Costs'!$K$40:$O$77, MATCH('Capital Costs - CC'!$S30, 'CC Capital Costs'!$D$40:$D$77, 0),J$10))/1000000, "-")</f>
        <v>132.64400000000001</v>
      </c>
      <c r="K30" s="1592" cm="1">
        <f t="array" ref="K30">IF(Control!$H$10=Control!$J$10, (INDEX('CC Capital Costs'!$K$40:$O$77, MATCH('Capital Costs - CC'!$S30, 'CC Capital Costs'!$D$40:$D$77, 0),K$10))/1000000, "-")</f>
        <v>150.88824374999999</v>
      </c>
      <c r="L30" s="1594"/>
      <c r="M30" s="1592" cm="1">
        <f t="array" ref="M30">IF(Control!$H$10=Control!$J$10, (INDEX('CC Capital Costs'!$R$48:$V$77, MATCH('Capital Costs - CC'!$S30, 'CC Capital Costs'!$D$48:$D$77, 0),M$10))/1000000, "-")</f>
        <v>139.13506390235395</v>
      </c>
      <c r="N30" s="1592" cm="1">
        <f t="array" ref="N30">IF(Control!$H$10=Control!$J$10, (INDEX('CC Capital Costs'!$R$48:$V$77, MATCH('Capital Costs - CC'!$S30, 'CC Capital Costs'!$D$48:$D$77, 0),N$10))/1000000, "-")</f>
        <v>128.48450533737588</v>
      </c>
      <c r="O30" s="1592" cm="1">
        <f t="array" ref="O30">IF(Control!$H$10=Control!$J$10, (INDEX('CC Capital Costs'!$R$48:$V$77, MATCH('Capital Costs - CC'!$S30, 'CC Capital Costs'!$D$48:$D$77, 0),O$10))/1000000, "-")</f>
        <v>128.59655339064716</v>
      </c>
      <c r="P30" s="1592" cm="1">
        <f t="array" ref="P30">IF(Control!$H$10=Control!$J$10, (INDEX('CC Capital Costs'!$R$48:$V$77, MATCH('Capital Costs - CC'!$S30, 'CC Capital Costs'!$D$48:$D$77, 0),P$10))/1000000, "-")</f>
        <v>132.9141112874147</v>
      </c>
      <c r="Q30" s="1592" cm="1">
        <f t="array" ref="Q30">IF(Control!$H$10=Control!$J$10, (INDEX('CC Capital Costs'!$R$48:$V$77, MATCH('Capital Costs - CC'!$S30, 'CC Capital Costs'!$D$48:$D$77, 0),Q$10))/1000000, "-")</f>
        <v>151.33298958885888</v>
      </c>
      <c r="R30" s="1414"/>
      <c r="S30" s="76" t="str">
        <f>'CC Capital Costs'!$D54</f>
        <v>EPC Contractor Fee</v>
      </c>
      <c r="T30" s="1454"/>
      <c r="W30" s="1454"/>
      <c r="X30" s="1454"/>
      <c r="Y30" s="1454"/>
      <c r="Z30" s="1454"/>
    </row>
    <row r="31" spans="1:26" ht="15" customHeight="1" x14ac:dyDescent="0.35">
      <c r="A31" s="1421"/>
      <c r="B31" s="1421"/>
      <c r="C31" s="1421"/>
      <c r="D31" s="1889" t="str">
        <f t="shared" si="1"/>
        <v>EPC Contingency</v>
      </c>
      <c r="E31" s="1941" t="str">
        <f>_xlfn.XLOOKUP($D31,'CC Capital Costs'!$D$41:$D$71,'CC Capital Costs'!$H$41:$H$71)</f>
        <v/>
      </c>
      <c r="F31" s="1290"/>
      <c r="G31" s="1290" cm="1">
        <f t="array" ref="G31">IF(Control!$H$10=Control!$J$10, (INDEX('CC Capital Costs'!$K$40:$O$77, MATCH('Capital Costs - CC'!$S31, 'CC Capital Costs'!$D$40:$D$77, 0),G$10))/1000000, "-")</f>
        <v>152.64469</v>
      </c>
      <c r="H31" s="1290" cm="1">
        <f t="array" ref="H31">IF(Control!$H$10=Control!$J$10, (INDEX('CC Capital Costs'!$K$40:$O$77, MATCH('Capital Costs - CC'!$S31, 'CC Capital Costs'!$D$40:$D$77, 0),H$10))/1000000, "-")</f>
        <v>141.11185</v>
      </c>
      <c r="I31" s="1291" cm="1">
        <f t="array" ref="I31">IF(Control!$H$10=Control!$J$10, (INDEX('CC Capital Costs'!$K$40:$O$77, MATCH('Capital Costs - CC'!$S31, 'CC Capital Costs'!$D$40:$D$77, 0),I$10))/1000000, "-")</f>
        <v>141.23318</v>
      </c>
      <c r="J31" s="1291" cm="1">
        <f t="array" ref="J31">IF(Control!$H$10=Control!$J$10, (INDEX('CC Capital Costs'!$K$40:$O$77, MATCH('Capital Costs - CC'!$S31, 'CC Capital Costs'!$D$40:$D$77, 0),J$10))/1000000, "-")</f>
        <v>145.9084</v>
      </c>
      <c r="K31" s="1291" cm="1">
        <f t="array" ref="K31">IF(Control!$H$10=Control!$J$10, (INDEX('CC Capital Costs'!$K$40:$O$77, MATCH('Capital Costs - CC'!$S31, 'CC Capital Costs'!$D$40:$D$77, 0),K$10))/1000000, "-")</f>
        <v>165.97706812499999</v>
      </c>
      <c r="L31" s="1292"/>
      <c r="M31" s="1291" cm="1">
        <f t="array" ref="M31">IF(Control!$H$10=Control!$J$10, (INDEX('CC Capital Costs'!$R$48:$V$77, MATCH('Capital Costs - CC'!$S31, 'CC Capital Costs'!$D$48:$D$77, 0),M$10))/1000000, "-")</f>
        <v>153.04857029258935</v>
      </c>
      <c r="N31" s="1291" cm="1">
        <f t="array" ref="N31">IF(Control!$H$10=Control!$J$10, (INDEX('CC Capital Costs'!$R$48:$V$77, MATCH('Capital Costs - CC'!$S31, 'CC Capital Costs'!$D$48:$D$77, 0),N$10))/1000000, "-")</f>
        <v>141.33295587111348</v>
      </c>
      <c r="O31" s="1291" cm="1">
        <f t="array" ref="O31">IF(Control!$H$10=Control!$J$10, (INDEX('CC Capital Costs'!$R$48:$V$77, MATCH('Capital Costs - CC'!$S31, 'CC Capital Costs'!$D$48:$D$77, 0),O$10))/1000000, "-")</f>
        <v>141.45620872971185</v>
      </c>
      <c r="P31" s="1291" cm="1">
        <f t="array" ref="P31">IF(Control!$H$10=Control!$J$10, (INDEX('CC Capital Costs'!$R$48:$V$77, MATCH('Capital Costs - CC'!$S31, 'CC Capital Costs'!$D$48:$D$77, 0),P$10))/1000000, "-")</f>
        <v>146.20552241615619</v>
      </c>
      <c r="Q31" s="1291" cm="1">
        <f t="array" ref="Q31">IF(Control!$H$10=Control!$J$10, (INDEX('CC Capital Costs'!$R$48:$V$77, MATCH('Capital Costs - CC'!$S31, 'CC Capital Costs'!$D$48:$D$77, 0),Q$10))/1000000, "-")</f>
        <v>166.46628854774474</v>
      </c>
      <c r="R31" s="1414"/>
      <c r="S31" s="76" t="str">
        <f>'CC Capital Costs'!$D55</f>
        <v>EPC Contingency</v>
      </c>
      <c r="T31" s="1454"/>
      <c r="W31" s="1454"/>
      <c r="X31" s="1454"/>
      <c r="Y31" s="1454"/>
      <c r="Z31" s="1454"/>
    </row>
    <row r="32" spans="1:26" s="1416" customFormat="1" ht="6" customHeight="1" x14ac:dyDescent="0.35">
      <c r="A32" s="1438"/>
      <c r="B32" s="1438"/>
      <c r="C32" s="1438"/>
      <c r="D32" s="1474"/>
      <c r="E32" s="1475"/>
      <c r="F32" s="1476"/>
      <c r="G32" s="1477"/>
      <c r="H32" s="1477"/>
      <c r="I32" s="1441"/>
      <c r="J32" s="1441"/>
      <c r="K32" s="1441"/>
      <c r="L32" s="1478"/>
      <c r="M32" s="1441"/>
      <c r="N32" s="1441"/>
      <c r="O32" s="1441"/>
      <c r="P32" s="1441"/>
      <c r="Q32" s="1441"/>
      <c r="S32" s="1204"/>
    </row>
    <row r="33" spans="1:26" ht="15" customHeight="1" x14ac:dyDescent="0.35">
      <c r="A33" s="1421"/>
      <c r="B33" s="1421"/>
      <c r="C33" s="1421"/>
      <c r="D33" s="1654" t="s">
        <v>107</v>
      </c>
      <c r="E33" s="69"/>
      <c r="F33" s="962"/>
      <c r="G33" s="962">
        <f>IF(Control!$H$10=Control!$J$10,SUM(G$34:G$43),"-")</f>
        <v>272.22202710066369</v>
      </c>
      <c r="H33" s="962">
        <f>IF(Control!$H$10=Control!$J$10,SUM(H$34:H$43),"-")</f>
        <v>264.45155222633628</v>
      </c>
      <c r="I33" s="963">
        <f>IF(Control!$H$10=Control!$J$10,SUM(I$34:I$43),"-")</f>
        <v>255.26698201843934</v>
      </c>
      <c r="J33" s="963">
        <f>IF(Control!$H$10=Control!$J$10,SUM(J$34:J$43),"-")</f>
        <v>256.58834011258966</v>
      </c>
      <c r="K33" s="963">
        <f>IF(Control!$H$10=Control!$J$10,SUM(K$34:K$43),"-")</f>
        <v>300.6008016646274</v>
      </c>
      <c r="L33" s="964"/>
      <c r="M33" s="963">
        <f>IF(Control!$H$10=Control!$J$10,SUM(M$34:M$43),"-")</f>
        <v>272.56907429003826</v>
      </c>
      <c r="N33" s="963">
        <f>IF(Control!$H$10=Control!$J$10,SUM(N$34:N$43),"-")</f>
        <v>265.00791122272847</v>
      </c>
      <c r="O33" s="963">
        <f>IF(Control!$H$10=Control!$J$10,SUM(O$34:O$43),"-")</f>
        <v>255.32978909401263</v>
      </c>
      <c r="P33" s="963">
        <f>IF(Control!$H$10=Control!$J$10,SUM(P$34:P$43),"-")</f>
        <v>256.23359850657971</v>
      </c>
      <c r="Q33" s="963">
        <f>IF(Control!$H$10=Control!$J$10,SUM(Q$34:Q$43),"-")</f>
        <v>302.26604629385406</v>
      </c>
    </row>
    <row r="34" spans="1:26" ht="15" customHeight="1" x14ac:dyDescent="0.35">
      <c r="A34" s="1421"/>
      <c r="B34" s="1421"/>
      <c r="C34" s="1421"/>
      <c r="D34" s="1883" t="str">
        <f t="shared" ref="D34:D43" si="2">S34</f>
        <v>Project Development</v>
      </c>
      <c r="E34" s="1941"/>
      <c r="F34" s="1942"/>
      <c r="G34" s="1942" cm="1">
        <f t="array" ref="G34">IF(Control!$H$10=Control!$J$10, (INDEX('CC Capital Costs'!$K$40:$O$77, MATCH('Capital Costs - CC'!$S34, 'CC Capital Costs'!$D$40:$D$77, 0),G$10))/1000000, "-")</f>
        <v>83.954579499999994</v>
      </c>
      <c r="H34" s="1942" cm="1">
        <f t="array" ref="H34">IF(Control!$H$10=Control!$J$10, (INDEX('CC Capital Costs'!$K$40:$O$77, MATCH('Capital Costs - CC'!$S34, 'CC Capital Costs'!$D$40:$D$77, 0),H$10))/1000000, "-")</f>
        <v>77.611517500000005</v>
      </c>
      <c r="I34" s="1291" cm="1">
        <f t="array" ref="I34">IF(Control!$H$10=Control!$J$10, (INDEX('CC Capital Costs'!$K$40:$O$77, MATCH('Capital Costs - CC'!$S34, 'CC Capital Costs'!$D$40:$D$77, 0),I$10))/1000000, "-")</f>
        <v>77.678248999999994</v>
      </c>
      <c r="J34" s="1291" cm="1">
        <f t="array" ref="J34">IF(Control!$H$10=Control!$J$10, (INDEX('CC Capital Costs'!$K$40:$O$77, MATCH('Capital Costs - CC'!$S34, 'CC Capital Costs'!$D$40:$D$77, 0),J$10))/1000000, "-")</f>
        <v>80.249619999999993</v>
      </c>
      <c r="K34" s="1291" cm="1">
        <f t="array" ref="K34">IF(Control!$H$10=Control!$J$10, (INDEX('CC Capital Costs'!$K$40:$O$77, MATCH('Capital Costs - CC'!$S34, 'CC Capital Costs'!$D$40:$D$77, 0),K$10))/1000000, "-")</f>
        <v>91.287387468749998</v>
      </c>
      <c r="L34" s="1292"/>
      <c r="M34" s="1906" cm="1">
        <f t="array" ref="M34">IF(Control!$H$10=Control!$J$10, (INDEX('CC Capital Costs'!$R$40:$V$77, MATCH('Capital Costs - CC'!$S34, 'CC Capital Costs'!$D$40:$D$77, 0),M$10))/1000000, "-")</f>
        <v>84.176713660924136</v>
      </c>
      <c r="N34" s="1291" cm="1">
        <f t="array" ref="N34">IF(Control!$H$10=Control!$J$10, (INDEX('CC Capital Costs'!$R$40:$V$77, MATCH('Capital Costs - CC'!$S34, 'CC Capital Costs'!$D$40:$D$77, 0),N$10))/1000000, "-")</f>
        <v>77.733125729112416</v>
      </c>
      <c r="O34" s="1291" cm="1">
        <f t="array" ref="O34">IF(Control!$H$10=Control!$J$10, (INDEX('CC Capital Costs'!$R$40:$V$77, MATCH('Capital Costs - CC'!$S34, 'CC Capital Costs'!$D$40:$D$77, 0),O$10))/1000000, "-")</f>
        <v>77.800914801341534</v>
      </c>
      <c r="P34" s="1291" cm="1">
        <f t="array" ref="P34">IF(Control!$H$10=Control!$J$10, (INDEX('CC Capital Costs'!$R$40:$V$77, MATCH('Capital Costs - CC'!$S34, 'CC Capital Costs'!$D$40:$D$77, 0),P$10))/1000000, "-")</f>
        <v>80.413037328885892</v>
      </c>
      <c r="Q34" s="1291" cm="1">
        <f t="array" ref="Q34">IF(Control!$H$10=Control!$J$10, (INDEX('CC Capital Costs'!$R$40:$V$77, MATCH('Capital Costs - CC'!$S34, 'CC Capital Costs'!$D$40:$D$77, 0),Q$10))/1000000, "-")</f>
        <v>91.556458701259615</v>
      </c>
      <c r="S34" s="76" t="str">
        <f>'CC Capital Costs'!$D62</f>
        <v>Project Development</v>
      </c>
      <c r="T34" s="1454"/>
      <c r="W34" s="1454"/>
      <c r="X34" s="1454"/>
      <c r="Y34" s="1454"/>
      <c r="Z34" s="1454"/>
    </row>
    <row r="35" spans="1:26" ht="15" customHeight="1" x14ac:dyDescent="0.35">
      <c r="D35" s="1596" t="str">
        <f t="shared" si="2"/>
        <v>Mobilization and Start-Up</v>
      </c>
      <c r="E35" s="1940"/>
      <c r="F35" s="1593"/>
      <c r="G35" s="1593" cm="1">
        <f t="array" ref="G35">IF(Control!$H$10=Control!$J$10, (INDEX('CC Capital Costs'!$K$40:$O$77, MATCH('Capital Costs - CC'!$S35, 'CC Capital Costs'!$D$40:$D$77, 0),G$10))/1000000, "-")</f>
        <v>16.790915899999998</v>
      </c>
      <c r="H35" s="1593" cm="1">
        <f t="array" ref="H35">IF(Control!$H$10=Control!$J$10, (INDEX('CC Capital Costs'!$K$40:$O$77, MATCH('Capital Costs - CC'!$S35, 'CC Capital Costs'!$D$40:$D$77, 0),H$10))/1000000, "-")</f>
        <v>15.5223035</v>
      </c>
      <c r="I35" s="1592" cm="1">
        <f t="array" ref="I35">IF(Control!$H$10=Control!$J$10, (INDEX('CC Capital Costs'!$K$40:$O$77, MATCH('Capital Costs - CC'!$S35, 'CC Capital Costs'!$D$40:$D$77, 0),I$10))/1000000, "-")</f>
        <v>15.535649800000002</v>
      </c>
      <c r="J35" s="1592" cm="1">
        <f t="array" ref="J35">IF(Control!$H$10=Control!$J$10, (INDEX('CC Capital Costs'!$K$40:$O$77, MATCH('Capital Costs - CC'!$S35, 'CC Capital Costs'!$D$40:$D$77, 0),J$10))/1000000, "-")</f>
        <v>16.049924000000001</v>
      </c>
      <c r="K35" s="1592" cm="1">
        <f t="array" ref="K35">IF(Control!$H$10=Control!$J$10, (INDEX('CC Capital Costs'!$K$40:$O$77, MATCH('Capital Costs - CC'!$S35, 'CC Capital Costs'!$D$40:$D$77, 0),K$10))/1000000, "-")</f>
        <v>18.257477493750002</v>
      </c>
      <c r="L35" s="1594"/>
      <c r="M35" s="1592" cm="1">
        <f t="array" ref="M35">IF(Control!$H$10=Control!$J$10, (INDEX('CC Capital Costs'!$R$40:$V$77, MATCH('Capital Costs - CC'!$S35, 'CC Capital Costs'!$D$40:$D$77, 0),M$10))/1000000, "-")</f>
        <v>16.835342732184827</v>
      </c>
      <c r="N35" s="1592" cm="1">
        <f t="array" ref="N35">IF(Control!$H$10=Control!$J$10, (INDEX('CC Capital Costs'!$R$40:$V$77, MATCH('Capital Costs - CC'!$S35, 'CC Capital Costs'!$D$40:$D$77, 0),N$10))/1000000, "-")</f>
        <v>15.546625145822482</v>
      </c>
      <c r="O35" s="1592" cm="1">
        <f t="array" ref="O35">IF(Control!$H$10=Control!$J$10, (INDEX('CC Capital Costs'!$R$40:$V$77, MATCH('Capital Costs - CC'!$S35, 'CC Capital Costs'!$D$40:$D$77, 0),O$10))/1000000, "-")</f>
        <v>15.560182960268307</v>
      </c>
      <c r="P35" s="1592" cm="1">
        <f t="array" ref="P35">IF(Control!$H$10=Control!$J$10, (INDEX('CC Capital Costs'!$R$40:$V$77, MATCH('Capital Costs - CC'!$S35, 'CC Capital Costs'!$D$40:$D$77, 0),P$10))/1000000, "-")</f>
        <v>16.082607465777176</v>
      </c>
      <c r="Q35" s="1592" cm="1">
        <f t="array" ref="Q35">IF(Control!$H$10=Control!$J$10, (INDEX('CC Capital Costs'!$R$40:$V$77, MATCH('Capital Costs - CC'!$S35, 'CC Capital Costs'!$D$40:$D$77, 0),Q$10))/1000000, "-")</f>
        <v>18.311291740251924</v>
      </c>
      <c r="S35" s="76" t="str">
        <f>'CC Capital Costs'!$D63</f>
        <v>Mobilization and Start-Up</v>
      </c>
      <c r="T35" s="1454"/>
      <c r="W35" s="1454"/>
      <c r="X35" s="1454"/>
      <c r="Y35" s="1454"/>
      <c r="Z35" s="1454"/>
    </row>
    <row r="36" spans="1:26" ht="15" customHeight="1" x14ac:dyDescent="0.35">
      <c r="D36" s="1883" t="str">
        <f t="shared" si="2"/>
        <v>Non-Fuel Inventories</v>
      </c>
      <c r="E36" s="1943" t="str">
        <f>_xlfn.XLOOKUP($D36,'CC Capital Costs'!$D$41:$D$71,'CC Capital Costs'!$H$41:$H$71)</f>
        <v/>
      </c>
      <c r="F36" s="1942"/>
      <c r="G36" s="1942" cm="1">
        <f t="array" ref="G36">IF(Control!$H$10=Control!$J$10, (INDEX('CC Capital Costs'!$K$40:$O$77, MATCH('Capital Costs - CC'!$S36, 'CC Capital Costs'!$D$40:$D$77, 0),G$10))/1000000, "-")</f>
        <v>8.3954579499999991</v>
      </c>
      <c r="H36" s="1942" cm="1">
        <f t="array" ref="H36">IF(Control!$H$10=Control!$J$10, (INDEX('CC Capital Costs'!$K$40:$O$77, MATCH('Capital Costs - CC'!$S36, 'CC Capital Costs'!$D$40:$D$77, 0),H$10))/1000000, "-")</f>
        <v>7.7611517499999998</v>
      </c>
      <c r="I36" s="1291" cm="1">
        <f t="array" ref="I36">IF(Control!$H$10=Control!$J$10, (INDEX('CC Capital Costs'!$K$40:$O$77, MATCH('Capital Costs - CC'!$S36, 'CC Capital Costs'!$D$40:$D$77, 0),I$10))/1000000, "-")</f>
        <v>7.7678249000000008</v>
      </c>
      <c r="J36" s="1291" cm="1">
        <f t="array" ref="J36">IF(Control!$H$10=Control!$J$10, (INDEX('CC Capital Costs'!$K$40:$O$77, MATCH('Capital Costs - CC'!$S36, 'CC Capital Costs'!$D$40:$D$77, 0),J$10))/1000000, "-")</f>
        <v>8.0249620000000004</v>
      </c>
      <c r="K36" s="1291" cm="1">
        <f t="array" ref="K36">IF(Control!$H$10=Control!$J$10, (INDEX('CC Capital Costs'!$K$40:$O$77, MATCH('Capital Costs - CC'!$S36, 'CC Capital Costs'!$D$40:$D$77, 0),K$10))/1000000, "-")</f>
        <v>9.1287387468750012</v>
      </c>
      <c r="L36" s="1292"/>
      <c r="M36" s="1906" cm="1">
        <f t="array" ref="M36">IF(Control!$H$10=Control!$J$10, (INDEX('CC Capital Costs'!$R$40:$V$77, MATCH('Capital Costs - CC'!$S36, 'CC Capital Costs'!$D$40:$D$77, 0),M$10))/1000000, "-")</f>
        <v>8.4176713660924136</v>
      </c>
      <c r="N36" s="1291" cm="1">
        <f t="array" ref="N36">IF(Control!$H$10=Control!$J$10, (INDEX('CC Capital Costs'!$R$40:$V$77, MATCH('Capital Costs - CC'!$S36, 'CC Capital Costs'!$D$40:$D$77, 0),N$10))/1000000, "-")</f>
        <v>7.7733125729112409</v>
      </c>
      <c r="O36" s="1291" cm="1">
        <f t="array" ref="O36">IF(Control!$H$10=Control!$J$10, (INDEX('CC Capital Costs'!$R$40:$V$77, MATCH('Capital Costs - CC'!$S36, 'CC Capital Costs'!$D$40:$D$77, 0),O$10))/1000000, "-")</f>
        <v>7.7800914801341534</v>
      </c>
      <c r="P36" s="1291" cm="1">
        <f t="array" ref="P36">IF(Control!$H$10=Control!$J$10, (INDEX('CC Capital Costs'!$R$40:$V$77, MATCH('Capital Costs - CC'!$S36, 'CC Capital Costs'!$D$40:$D$77, 0),P$10))/1000000, "-")</f>
        <v>8.0413037328885881</v>
      </c>
      <c r="Q36" s="1291" cm="1">
        <f t="array" ref="Q36">IF(Control!$H$10=Control!$J$10, (INDEX('CC Capital Costs'!$R$40:$V$77, MATCH('Capital Costs - CC'!$S36, 'CC Capital Costs'!$D$40:$D$77, 0),Q$10))/1000000, "-")</f>
        <v>9.1556458701259622</v>
      </c>
      <c r="S36" s="76" t="str">
        <f>'CC Capital Costs'!$D64</f>
        <v>Non-Fuel Inventories</v>
      </c>
      <c r="T36" s="1454"/>
      <c r="W36" s="1454"/>
      <c r="X36" s="1454"/>
      <c r="Y36" s="1454"/>
      <c r="Z36" s="1454"/>
    </row>
    <row r="37" spans="1:26" ht="15" customHeight="1" x14ac:dyDescent="0.35">
      <c r="D37" s="1596" t="str">
        <f t="shared" si="2"/>
        <v>Emission Reduction Credits</v>
      </c>
      <c r="E37" s="1940">
        <f>_xlfn.XLOOKUP($D37,'CC Capital Costs'!$D$41:$D$71,'CC Capital Costs'!$H$41:$H$71)</f>
        <v>1.5848171090196317E-2</v>
      </c>
      <c r="F37" s="1593"/>
      <c r="G37" s="1593" cm="1">
        <f t="array" ref="G37">IF(Control!$H$10=Control!$J$10, (INDEX('CC Capital Costs'!$K$40:$O$77, MATCH('Capital Costs - CC'!$S37, 'CC Capital Costs'!$D$40:$D$77, 0),G$10))/1000000, "-")</f>
        <v>2.2400000000000002</v>
      </c>
      <c r="H37" s="1593" cm="1">
        <f t="array" ref="H37">IF(Control!$H$10=Control!$J$10, (INDEX('CC Capital Costs'!$K$40:$O$77, MATCH('Capital Costs - CC'!$S37, 'CC Capital Costs'!$D$40:$D$77, 0),H$10))/1000000, "-")</f>
        <v>2.2400000000000002</v>
      </c>
      <c r="I37" s="1592" cm="1">
        <f t="array" ref="I37">IF(Control!$H$10=Control!$J$10, (INDEX('CC Capital Costs'!$K$40:$O$77, MATCH('Capital Costs - CC'!$S37, 'CC Capital Costs'!$D$40:$D$77, 0),I$10))/1000000, "-")</f>
        <v>2.2400000000000002</v>
      </c>
      <c r="J37" s="1592" cm="1">
        <f t="array" ref="J37">IF(Control!$H$10=Control!$J$10, (INDEX('CC Capital Costs'!$K$40:$O$77, MATCH('Capital Costs - CC'!$S37, 'CC Capital Costs'!$D$40:$D$77, 0),J$10))/1000000, "-")</f>
        <v>2.2400000000000002</v>
      </c>
      <c r="K37" s="1592" cm="1">
        <f t="array" ref="K37">IF(Control!$H$10=Control!$J$10, (INDEX('CC Capital Costs'!$K$40:$O$77, MATCH('Capital Costs - CC'!$S37, 'CC Capital Costs'!$D$40:$D$77, 0),K$10))/1000000, "-")</f>
        <v>2.2400000000000002</v>
      </c>
      <c r="L37" s="1594"/>
      <c r="M37" s="1592" cm="1">
        <f t="array" ref="M37">IF(Control!$H$10=Control!$J$10, (INDEX('CC Capital Costs'!$R$40:$V$77, MATCH('Capital Costs - CC'!$S37, 'CC Capital Costs'!$D$40:$D$77, 0),M$10))/1000000, "-")</f>
        <v>2.2754999032420398</v>
      </c>
      <c r="N37" s="1592" cm="1">
        <f t="array" ref="N37">IF(Control!$H$10=Control!$J$10, (INDEX('CC Capital Costs'!$R$40:$V$77, MATCH('Capital Costs - CC'!$S37, 'CC Capital Costs'!$D$40:$D$77, 0),N$10))/1000000, "-")</f>
        <v>2.2754999032420398</v>
      </c>
      <c r="O37" s="1592" cm="1">
        <f t="array" ref="O37">IF(Control!$H$10=Control!$J$10, (INDEX('CC Capital Costs'!$R$40:$V$77, MATCH('Capital Costs - CC'!$S37, 'CC Capital Costs'!$D$40:$D$77, 0),O$10))/1000000, "-")</f>
        <v>2.2754999032420398</v>
      </c>
      <c r="P37" s="1592" cm="1">
        <f t="array" ref="P37">IF(Control!$H$10=Control!$J$10, (INDEX('CC Capital Costs'!$R$40:$V$77, MATCH('Capital Costs - CC'!$S37, 'CC Capital Costs'!$D$40:$D$77, 0),P$10))/1000000, "-")</f>
        <v>2.2754999032420398</v>
      </c>
      <c r="Q37" s="1592" cm="1">
        <f t="array" ref="Q37">IF(Control!$H$10=Control!$J$10, (INDEX('CC Capital Costs'!$R$40:$V$77, MATCH('Capital Costs - CC'!$S37, 'CC Capital Costs'!$D$40:$D$77, 0),Q$10))/1000000, "-")</f>
        <v>2.2754999032420398</v>
      </c>
      <c r="S37" s="76" t="str">
        <f>'CC Capital Costs'!$D70</f>
        <v>Emission Reduction Credits</v>
      </c>
      <c r="T37" s="1454"/>
      <c r="W37" s="1454"/>
      <c r="X37" s="1454"/>
      <c r="Y37" s="1454"/>
      <c r="Z37" s="1454"/>
    </row>
    <row r="38" spans="1:26" ht="15" customHeight="1" x14ac:dyDescent="0.35">
      <c r="D38" s="1883" t="str">
        <f t="shared" si="2"/>
        <v>Net Start-Up Fuel Costs</v>
      </c>
      <c r="E38" s="1943"/>
      <c r="F38" s="1942"/>
      <c r="G38" s="1290" cm="1">
        <f t="array" ref="G38">IF(Control!$H$10=Control!$J$10, (INDEX('CC Capital Costs'!$K$40:$O$77, MATCH('Capital Costs - CC'!$S38, 'CC Capital Costs'!$D$40:$D$77, 0),G$10))/1000000, "-")</f>
        <v>-23.291439815099601</v>
      </c>
      <c r="H38" s="1290" cm="1">
        <f t="array" ref="H38">IF(Control!$H$10=Control!$J$10, (INDEX('CC Capital Costs'!$K$40:$O$77, MATCH('Capital Costs - CC'!$S38, 'CC Capital Costs'!$D$40:$D$77, 0),H$10))/1000000, "-")</f>
        <v>-19.192336009981602</v>
      </c>
      <c r="I38" s="1291" cm="1">
        <f t="array" ref="I38">IF(Control!$H$10=Control!$J$10, (INDEX('CC Capital Costs'!$K$40:$O$77, MATCH('Capital Costs - CC'!$S38, 'CC Capital Costs'!$D$40:$D$77, 0),I$10))/1000000, "-")</f>
        <v>-23.482964061601368</v>
      </c>
      <c r="J38" s="1291" cm="1">
        <f t="array" ref="J38">IF(Control!$H$10=Control!$J$10, (INDEX('CC Capital Costs'!$K$40:$O$77, MATCH('Capital Costs - CC'!$S38, 'CC Capital Costs'!$D$40:$D$77, 0),J$10))/1000000, "-")</f>
        <v>-28.889380508125274</v>
      </c>
      <c r="K38" s="1291" cm="1">
        <f t="array" ref="K38">IF(Control!$H$10=Control!$J$10, (INDEX('CC Capital Costs'!$K$40:$O$77, MATCH('Capital Costs - CC'!$S38, 'CC Capital Costs'!$D$40:$D$77, 0),K$10))/1000000, "-")</f>
        <v>-10.982429165655772</v>
      </c>
      <c r="L38" s="1292"/>
      <c r="M38" s="1906" cm="1">
        <f t="array" ref="M38">IF(Control!$H$10=Control!$J$10, (INDEX('CC Capital Costs'!$R$40:$V$77, MATCH('Capital Costs - CC'!$S38, 'CC Capital Costs'!$D$40:$D$77, 0),M$10))/1000000, "-")</f>
        <v>-25.372045936227906</v>
      </c>
      <c r="N38" s="1291" cm="1">
        <f t="array" ref="N38">IF(Control!$H$10=Control!$J$10, (INDEX('CC Capital Costs'!$R$40:$V$77, MATCH('Capital Costs - CC'!$S38, 'CC Capital Costs'!$D$40:$D$77, 0),N$10))/1000000, "-")</f>
        <v>-20.90677239082018</v>
      </c>
      <c r="O38" s="1291" cm="1">
        <f t="array" ref="O38">IF(Control!$H$10=Control!$J$10, (INDEX('CC Capital Costs'!$R$40:$V$77, MATCH('Capital Costs - CC'!$S38, 'CC Capital Costs'!$D$40:$D$77, 0),O$10))/1000000, "-")</f>
        <v>-25.580678894032168</v>
      </c>
      <c r="P38" s="1291" cm="1">
        <f t="array" ref="P38">IF(Control!$H$10=Control!$J$10, (INDEX('CC Capital Costs'!$R$40:$V$77, MATCH('Capital Costs - CC'!$S38, 'CC Capital Costs'!$D$40:$D$77, 0),P$10))/1000000, "-")</f>
        <v>-31.470046297701892</v>
      </c>
      <c r="Q38" s="1291" cm="1">
        <f t="array" ref="Q38">IF(Control!$H$10=Control!$J$10, (INDEX('CC Capital Costs'!$R$40:$V$77, MATCH('Capital Costs - CC'!$S38, 'CC Capital Costs'!$D$40:$D$77, 0),Q$10))/1000000, "-")</f>
        <v>-11.963480982474238</v>
      </c>
      <c r="S38" s="76" t="str">
        <f>'CC Capital Costs'!$D65</f>
        <v>Net Start-Up Fuel Costs</v>
      </c>
      <c r="T38" s="1454"/>
      <c r="W38" s="1454"/>
      <c r="X38" s="1454"/>
      <c r="Y38" s="1454"/>
      <c r="Z38" s="1454"/>
    </row>
    <row r="39" spans="1:26" ht="15" customHeight="1" x14ac:dyDescent="0.35">
      <c r="A39" s="1421"/>
      <c r="B39" s="1421"/>
      <c r="C39" s="1421"/>
      <c r="D39" s="1596" t="str">
        <f t="shared" si="2"/>
        <v>Electrical Interconnection</v>
      </c>
      <c r="E39" s="1940">
        <f>_xlfn.XLOOKUP($D39,'CC Capital Costs'!$D$41:$D$71,'CC Capital Costs'!$H$41:$H$71)</f>
        <v>1.5848171090196317E-2</v>
      </c>
      <c r="F39" s="1593"/>
      <c r="G39" s="1593" cm="1">
        <f t="array" ref="G39">IF(Control!$H$10=Control!$J$10, (INDEX('CC Capital Costs'!$K$40:$O$77, MATCH('Capital Costs - CC'!$S39, 'CC Capital Costs'!$D$40:$D$77, 0),G$10))/1000000, "-")</f>
        <v>70.466985587483023</v>
      </c>
      <c r="H39" s="1593" cm="1">
        <f t="array" ref="H39">IF(Control!$H$10=Control!$J$10, (INDEX('CC Capital Costs'!$K$40:$O$77, MATCH('Capital Costs - CC'!$S39, 'CC Capital Costs'!$D$40:$D$77, 0),H$10))/1000000, "-")</f>
        <v>70.476551580495169</v>
      </c>
      <c r="I39" s="1592" cm="1">
        <f t="array" ref="I39">IF(Control!$H$10=Control!$J$10, (INDEX('CC Capital Costs'!$K$40:$O$77, MATCH('Capital Costs - CC'!$S39, 'CC Capital Costs'!$D$40:$D$77, 0),I$10))/1000000, "-")</f>
        <v>69.757626208519554</v>
      </c>
      <c r="J39" s="1592" cm="1">
        <f t="array" ref="J39">IF(Control!$H$10=Control!$J$10, (INDEX('CC Capital Costs'!$K$40:$O$77, MATCH('Capital Costs - CC'!$S39, 'CC Capital Costs'!$D$40:$D$77, 0),J$10))/1000000, "-")</f>
        <v>69.069694653903269</v>
      </c>
      <c r="K39" s="1592" cm="1">
        <f t="array" ref="K39">IF(Control!$H$10=Control!$J$10, (INDEX('CC Capital Costs'!$K$40:$O$77, MATCH('Capital Costs - CC'!$S39, 'CC Capital Costs'!$D$40:$D$77, 0),K$10))/1000000, "-")</f>
        <v>70.722752909219182</v>
      </c>
      <c r="L39" s="1594"/>
      <c r="M39" s="1592" cm="1">
        <f t="array" ref="M39">IF(Control!$H$10=Control!$J$10, (INDEX('CC Capital Costs'!$R$40:$V$77, MATCH('Capital Costs - CC'!$S39, 'CC Capital Costs'!$D$40:$D$77, 0),M$10))/1000000, "-")</f>
        <v>71.58375843128384</v>
      </c>
      <c r="N39" s="1592" cm="1">
        <f t="array" ref="N39">IF(Control!$H$10=Control!$J$10, (INDEX('CC Capital Costs'!$R$40:$V$77, MATCH('Capital Costs - CC'!$S39, 'CC Capital Costs'!$D$40:$D$77, 0),N$10))/1000000, "-")</f>
        <v>71.59347602778989</v>
      </c>
      <c r="O39" s="1592" cm="1">
        <f t="array" ref="O39">IF(Control!$H$10=Control!$J$10, (INDEX('CC Capital Costs'!$R$40:$V$77, MATCH('Capital Costs - CC'!$S39, 'CC Capital Costs'!$D$40:$D$77, 0),O$10))/1000000, "-")</f>
        <v>70.86315700351814</v>
      </c>
      <c r="P39" s="1592" cm="1">
        <f t="array" ref="P39">IF(Control!$H$10=Control!$J$10, (INDEX('CC Capital Costs'!$R$40:$V$77, MATCH('Capital Costs - CC'!$S39, 'CC Capital Costs'!$D$40:$D$77, 0),P$10))/1000000, "-")</f>
        <v>70.164322991925957</v>
      </c>
      <c r="Q39" s="1592" cm="1">
        <f t="array" ref="Q39">IF(Control!$H$10=Control!$J$10, (INDEX('CC Capital Costs'!$R$40:$V$77, MATCH('Capital Costs - CC'!$S39, 'CC Capital Costs'!$D$40:$D$77, 0),Q$10))/1000000, "-")</f>
        <v>71.843579197294162</v>
      </c>
      <c r="R39" s="1414"/>
      <c r="S39" s="76" t="str">
        <f>'CC Capital Costs'!$D66</f>
        <v>Electrical Interconnection</v>
      </c>
      <c r="T39" s="1454"/>
      <c r="W39" s="1454"/>
      <c r="X39" s="1454"/>
      <c r="Y39" s="1454"/>
      <c r="Z39" s="1454"/>
    </row>
    <row r="40" spans="1:26" ht="15" customHeight="1" x14ac:dyDescent="0.35">
      <c r="A40" s="1421"/>
      <c r="B40" s="1421"/>
      <c r="C40" s="1421"/>
      <c r="D40" s="1883" t="str">
        <f t="shared" si="2"/>
        <v>Gas Interconnection</v>
      </c>
      <c r="E40" s="1943">
        <f>_xlfn.XLOOKUP($D40,'CC Capital Costs'!$D$41:$D$71,'CC Capital Costs'!$H$41:$H$71)</f>
        <v>1.5848171090196317E-2</v>
      </c>
      <c r="F40" s="1942"/>
      <c r="G40" s="1942" cm="1">
        <f t="array" ref="G40">IF(Control!$H$10=Control!$J$10, (INDEX('CC Capital Costs'!$K$40:$O$77, MATCH('Capital Costs - CC'!$S40, 'CC Capital Costs'!$D$40:$D$77, 0),G$10))/1000000, "-")</f>
        <v>48.388520170698392</v>
      </c>
      <c r="H40" s="1942" cm="1">
        <f t="array" ref="H40">IF(Control!$H$10=Control!$J$10, (INDEX('CC Capital Costs'!$K$40:$O$77, MATCH('Capital Costs - CC'!$S40, 'CC Capital Costs'!$D$40:$D$77, 0),H$10))/1000000, "-")</f>
        <v>48.388520170698392</v>
      </c>
      <c r="I40" s="1291" cm="1">
        <f t="array" ref="I40">IF(Control!$H$10=Control!$J$10, (INDEX('CC Capital Costs'!$K$40:$O$77, MATCH('Capital Costs - CC'!$S40, 'CC Capital Costs'!$D$40:$D$77, 0),I$10))/1000000, "-")</f>
        <v>48.388520170698392</v>
      </c>
      <c r="J40" s="1291" cm="1">
        <f t="array" ref="J40">IF(Control!$H$10=Control!$J$10, (INDEX('CC Capital Costs'!$K$40:$O$77, MATCH('Capital Costs - CC'!$S40, 'CC Capital Costs'!$D$40:$D$77, 0),J$10))/1000000, "-")</f>
        <v>48.388520170698392</v>
      </c>
      <c r="K40" s="1291" cm="1">
        <f t="array" ref="K40">IF(Control!$H$10=Control!$J$10, (INDEX('CC Capital Costs'!$K$40:$O$77, MATCH('Capital Costs - CC'!$S40, 'CC Capital Costs'!$D$40:$D$77, 0),K$10))/1000000, "-")</f>
        <v>48.388520170698392</v>
      </c>
      <c r="L40" s="1292"/>
      <c r="M40" s="1906" cm="1">
        <f t="array" ref="M40">IF(Control!$H$10=Control!$J$10, (INDEX('CC Capital Costs'!$R$40:$V$77, MATCH('Capital Costs - CC'!$S40, 'CC Capital Costs'!$D$40:$D$77, 0),M$10))/1000000, "-")</f>
        <v>49.155389717165029</v>
      </c>
      <c r="N40" s="1291" cm="1">
        <f t="array" ref="N40">IF(Control!$H$10=Control!$J$10, (INDEX('CC Capital Costs'!$R$40:$V$77, MATCH('Capital Costs - CC'!$S40, 'CC Capital Costs'!$D$40:$D$77, 0),N$10))/1000000, "-")</f>
        <v>49.155389717165029</v>
      </c>
      <c r="O40" s="1291" cm="1">
        <f t="array" ref="O40">IF(Control!$H$10=Control!$J$10, (INDEX('CC Capital Costs'!$R$40:$V$77, MATCH('Capital Costs - CC'!$S40, 'CC Capital Costs'!$D$40:$D$77, 0),O$10))/1000000, "-")</f>
        <v>49.155389717165029</v>
      </c>
      <c r="P40" s="1291" cm="1">
        <f t="array" ref="P40">IF(Control!$H$10=Control!$J$10, (INDEX('CC Capital Costs'!$R$40:$V$77, MATCH('Capital Costs - CC'!$S40, 'CC Capital Costs'!$D$40:$D$77, 0),P$10))/1000000, "-")</f>
        <v>49.155389717165029</v>
      </c>
      <c r="Q40" s="1291" cm="1">
        <f t="array" ref="Q40">IF(Control!$H$10=Control!$J$10, (INDEX('CC Capital Costs'!$R$40:$V$77, MATCH('Capital Costs - CC'!$S40, 'CC Capital Costs'!$D$40:$D$77, 0),Q$10))/1000000, "-")</f>
        <v>49.155389717165029</v>
      </c>
      <c r="S40" s="76" t="str">
        <f>'CC Capital Costs'!$D67</f>
        <v>Gas Interconnection</v>
      </c>
      <c r="T40" s="1454"/>
      <c r="W40" s="1454"/>
      <c r="X40" s="1454"/>
      <c r="Y40" s="1454"/>
      <c r="Z40" s="1454"/>
    </row>
    <row r="41" spans="1:26" s="1417" customFormat="1" ht="15" customHeight="1" x14ac:dyDescent="0.35">
      <c r="A41" s="1444"/>
      <c r="B41" s="1444"/>
      <c r="C41" s="1444"/>
      <c r="D41" s="1596" t="str">
        <f t="shared" si="2"/>
        <v>Land</v>
      </c>
      <c r="E41" s="1940">
        <f>_xlfn.XLOOKUP($D41,'CC Capital Costs'!$D$41:$D$71,'CC Capital Costs'!$H$41:$H$71)</f>
        <v>1.5848171090196317E-2</v>
      </c>
      <c r="F41" s="1593"/>
      <c r="G41" s="1593" cm="1">
        <f t="array" ref="G41">IF(Control!$H$10=Control!$J$10, (INDEX('CC Capital Costs'!$K$40:$O$77, MATCH('Capital Costs - CC'!$S41, 'CC Capital Costs'!$D$40:$D$77, 0),G$10))/1000000, "-")</f>
        <v>6.3850112576391123</v>
      </c>
      <c r="H41" s="1593" cm="1">
        <f t="array" ref="H41">IF(Control!$H$10=Control!$J$10, (INDEX('CC Capital Costs'!$K$40:$O$77, MATCH('Capital Costs - CC'!$S41, 'CC Capital Costs'!$D$40:$D$77, 0),H$10))/1000000, "-")</f>
        <v>6.0108996539792381</v>
      </c>
      <c r="I41" s="1592" cm="1">
        <f t="array" ref="I41">IF(Control!$H$10=Control!$J$10, (INDEX('CC Capital Costs'!$K$40:$O$77, MATCH('Capital Costs - CC'!$S41, 'CC Capital Costs'!$D$40:$D$77, 0),I$10))/1000000, "-")</f>
        <v>2.5859344354160827</v>
      </c>
      <c r="J41" s="1592" cm="1">
        <f t="array" ref="J41">IF(Control!$H$10=Control!$J$10, (INDEX('CC Capital Costs'!$K$40:$O$77, MATCH('Capital Costs - CC'!$S41, 'CC Capital Costs'!$D$40:$D$77, 0),J$10))/1000000, "-")</f>
        <v>5.5095981054537866</v>
      </c>
      <c r="K41" s="1592" cm="1">
        <f t="array" ref="K41">IF(Control!$H$10=Control!$J$10, (INDEX('CC Capital Costs'!$K$40:$O$77, MATCH('Capital Costs - CC'!$S41, 'CC Capital Costs'!$D$40:$D$77, 0),K$10))/1000000, "-")</f>
        <v>7.0754526249475012</v>
      </c>
      <c r="L41" s="1594"/>
      <c r="M41" s="1592" cm="1">
        <f t="array" ref="M41">IF(Control!$H$10=Control!$J$10, (INDEX('CC Capital Costs'!$R$40:$V$77, MATCH('Capital Costs - CC'!$S41, 'CC Capital Costs'!$D$40:$D$77, 0),M$10))/1000000, "-")</f>
        <v>6.4862020084630068</v>
      </c>
      <c r="N41" s="1592" cm="1">
        <f t="array" ref="N41">IF(Control!$H$10=Control!$J$10, (INDEX('CC Capital Costs'!$R$40:$V$77, MATCH('Capital Costs - CC'!$S41, 'CC Capital Costs'!$D$40:$D$77, 0),N$10))/1000000, "-")</f>
        <v>6.1061614201015031</v>
      </c>
      <c r="O41" s="1592" cm="1">
        <f t="array" ref="O41">IF(Control!$H$10=Control!$J$10, (INDEX('CC Capital Costs'!$R$40:$V$77, MATCH('Capital Costs - CC'!$S41, 'CC Capital Costs'!$D$40:$D$77, 0),O$10))/1000000, "-")</f>
        <v>2.6269167667765871</v>
      </c>
      <c r="P41" s="1592" cm="1">
        <f t="array" ref="P41">IF(Control!$H$10=Control!$J$10, (INDEX('CC Capital Costs'!$R$40:$V$77, MATCH('Capital Costs - CC'!$S41, 'CC Capital Costs'!$D$40:$D$77, 0),P$10))/1000000, "-")</f>
        <v>5.5969151588672403</v>
      </c>
      <c r="Q41" s="1592" cm="1">
        <f t="array" ref="Q41">IF(Control!$H$10=Control!$J$10, (INDEX('CC Capital Costs'!$R$40:$V$77, MATCH('Capital Costs - CC'!$S41, 'CC Capital Costs'!$D$40:$D$77, 0),Q$10))/1000000, "-")</f>
        <v>7.1875856086882486</v>
      </c>
      <c r="S41" s="76" t="str">
        <f>'CC Capital Costs'!$D68</f>
        <v>Land</v>
      </c>
    </row>
    <row r="42" spans="1:26" s="1417" customFormat="1" ht="15" customHeight="1" x14ac:dyDescent="0.35">
      <c r="A42" s="1444"/>
      <c r="B42" s="1444"/>
      <c r="C42" s="1444"/>
      <c r="D42" s="1883" t="str">
        <f t="shared" si="2"/>
        <v>Owner's Contingency</v>
      </c>
      <c r="E42" s="1941" t="str">
        <f>_xlfn.XLOOKUP($D42,'CC Capital Costs'!$D$41:$D$71,'CC Capital Costs'!$H$41:$H$71)</f>
        <v/>
      </c>
      <c r="F42" s="1290"/>
      <c r="G42" s="1290" cm="1">
        <f t="array" ref="G42">IF(Control!$H$10=Control!$J$10, (INDEX('CC Capital Costs'!$K$40:$O$77, MATCH('Capital Costs - CC'!$S42, 'CC Capital Costs'!$D$40:$D$77, 0),G$10))/1000000, "-")</f>
        <v>16.887202444057674</v>
      </c>
      <c r="H42" s="1290" cm="1">
        <f t="array" ref="H42">IF(Control!$H$10=Control!$J$10, (INDEX('CC Capital Costs'!$K$40:$O$77, MATCH('Capital Costs - CC'!$S42, 'CC Capital Costs'!$D$40:$D$77, 0),H$10))/1000000, "-")</f>
        <v>16.526288651615296</v>
      </c>
      <c r="I42" s="1291" cm="1">
        <f t="array" ref="I42">IF(Control!$H$10=Control!$J$10, (INDEX('CC Capital Costs'!$K$40:$O$77, MATCH('Capital Costs - CC'!$S42, 'CC Capital Costs'!$D$40:$D$77, 0),I$10))/1000000, "-")</f>
        <v>15.85846723624261</v>
      </c>
      <c r="J42" s="1291" cm="1">
        <f t="array" ref="J42">IF(Control!$H$10=Control!$J$10, (INDEX('CC Capital Costs'!$K$40:$O$77, MATCH('Capital Costs - CC'!$S42, 'CC Capital Costs'!$D$40:$D$77, 0),J$10))/1000000, "-")</f>
        <v>15.872235073754416</v>
      </c>
      <c r="K42" s="1291" cm="1">
        <f t="array" ref="K42">IF(Control!$H$10=Control!$J$10, (INDEX('CC Capital Costs'!$K$40:$O$77, MATCH('Capital Costs - CC'!$S42, 'CC Capital Costs'!$D$40:$D$77, 0),K$10))/1000000, "-")</f>
        <v>18.710232019886742</v>
      </c>
      <c r="L42" s="1292"/>
      <c r="M42" s="1906" cm="1">
        <f t="array" ref="M42">IF(Control!$H$10=Control!$J$10, (INDEX('CC Capital Costs'!$R$40:$V$77, MATCH('Capital Costs - CC'!$S42, 'CC Capital Costs'!$D$40:$D$77, 0),M$10))/1000000, "-")</f>
        <v>16.902642558390827</v>
      </c>
      <c r="N42" s="1291" cm="1">
        <f t="array" ref="N42">IF(Control!$H$10=Control!$J$10, (INDEX('CC Capital Costs'!$R$40:$V$77, MATCH('Capital Costs - CC'!$S42, 'CC Capital Costs'!$D$40:$D$77, 0),N$10))/1000000, "-")</f>
        <v>16.560105457766589</v>
      </c>
      <c r="O42" s="1291" cm="1">
        <f t="array" ref="O42">IF(Control!$H$10=Control!$J$10, (INDEX('CC Capital Costs'!$R$40:$V$77, MATCH('Capital Costs - CC'!$S42, 'CC Capital Costs'!$D$40:$D$77, 0),O$10))/1000000, "-")</f>
        <v>15.856477906813726</v>
      </c>
      <c r="P42" s="1291" cm="1">
        <f t="array" ref="P42">IF(Control!$H$10=Control!$J$10, (INDEX('CC Capital Costs'!$R$40:$V$77, MATCH('Capital Costs - CC'!$S42, 'CC Capital Costs'!$D$40:$D$77, 0),P$10))/1000000, "-")</f>
        <v>15.838682407824637</v>
      </c>
      <c r="Q42" s="1291" cm="1">
        <f t="array" ref="Q42">IF(Control!$H$10=Control!$J$10, (INDEX('CC Capital Costs'!$R$40:$V$77, MATCH('Capital Costs - CC'!$S42, 'CC Capital Costs'!$D$40:$D$77, 0),Q$10))/1000000, "-")</f>
        <v>18.819717588184854</v>
      </c>
      <c r="S42" s="76" t="str">
        <f>'CC Capital Costs'!$D69</f>
        <v>Owner's Contingency</v>
      </c>
    </row>
    <row r="43" spans="1:26" s="1417" customFormat="1" ht="15" customHeight="1" x14ac:dyDescent="0.35">
      <c r="A43" s="1444"/>
      <c r="B43" s="1444"/>
      <c r="C43" s="1444"/>
      <c r="D43" s="1596" t="str">
        <f t="shared" si="2"/>
        <v>Financing Fees</v>
      </c>
      <c r="E43" s="1940" t="str">
        <f>_xlfn.XLOOKUP($D43,'CC Capital Costs'!$D$41:$D$71,'CC Capital Costs'!$H$41:$H$71)</f>
        <v/>
      </c>
      <c r="F43" s="1593"/>
      <c r="G43" s="1593" cm="1">
        <f t="array" ref="G43">IF(Control!$H$10=Control!$J$10, (INDEX('CC Capital Costs'!$K$40:$O$77, MATCH('Capital Costs - CC'!$S43, 'CC Capital Costs'!$D$40:$D$77, 0),G$10))/1000000, "-")</f>
        <v>42.004794105885132</v>
      </c>
      <c r="H43" s="1593" cm="1">
        <f t="array" ref="H43">IF(Control!$H$10=Control!$J$10, (INDEX('CC Capital Costs'!$K$40:$O$77, MATCH('Capital Costs - CC'!$S43, 'CC Capital Costs'!$D$40:$D$77, 0),H$10))/1000000, "-")</f>
        <v>39.106655429529752</v>
      </c>
      <c r="I43" s="1592" cm="1">
        <f t="array" ref="I43">IF(Control!$H$10=Control!$J$10, (INDEX('CC Capital Costs'!$K$40:$O$77, MATCH('Capital Costs - CC'!$S43, 'CC Capital Costs'!$D$40:$D$77, 0),I$10))/1000000, "-")</f>
        <v>38.937674329164061</v>
      </c>
      <c r="J43" s="1592" cm="1">
        <f t="array" ref="J43">IF(Control!$H$10=Control!$J$10, (INDEX('CC Capital Costs'!$K$40:$O$77, MATCH('Capital Costs - CC'!$S43, 'CC Capital Costs'!$D$40:$D$77, 0),J$10))/1000000, "-")</f>
        <v>40.073166616905063</v>
      </c>
      <c r="K43" s="1592" cm="1">
        <f t="array" ref="K43">IF(Control!$H$10=Control!$J$10, (INDEX('CC Capital Costs'!$K$40:$O$77, MATCH('Capital Costs - CC'!$S43, 'CC Capital Costs'!$D$40:$D$77, 0),K$10))/1000000, "-")</f>
        <v>45.772669396156374</v>
      </c>
      <c r="L43" s="1594"/>
      <c r="M43" s="1592" cm="1">
        <f t="array" ref="M43">IF(Control!$H$10=Control!$J$10, (INDEX('CC Capital Costs'!$R$40:$V$77, MATCH('Capital Costs - CC'!$S43, 'CC Capital Costs'!$D$40:$D$77, 0),M$10))/1000000, "-")</f>
        <v>42.107899848520027</v>
      </c>
      <c r="N43" s="1592" cm="1">
        <f t="array" ref="N43">IF(Control!$H$10=Control!$J$10, (INDEX('CC Capital Costs'!$R$40:$V$77, MATCH('Capital Costs - CC'!$S43, 'CC Capital Costs'!$D$40:$D$77, 0),N$10))/1000000, "-")</f>
        <v>39.17098763963746</v>
      </c>
      <c r="O43" s="1592" cm="1">
        <f t="array" ref="O43">IF(Control!$H$10=Control!$J$10, (INDEX('CC Capital Costs'!$R$40:$V$77, MATCH('Capital Costs - CC'!$S43, 'CC Capital Costs'!$D$40:$D$77, 0),O$10))/1000000, "-")</f>
        <v>38.991837448785283</v>
      </c>
      <c r="P43" s="1592" cm="1">
        <f t="array" ref="P43">IF(Control!$H$10=Control!$J$10, (INDEX('CC Capital Costs'!$R$40:$V$77, MATCH('Capital Costs - CC'!$S43, 'CC Capital Costs'!$D$40:$D$77, 0),P$10))/1000000, "-")</f>
        <v>40.135886097705047</v>
      </c>
      <c r="Q43" s="1592" cm="1">
        <f t="array" ref="Q43">IF(Control!$H$10=Control!$J$10, (INDEX('CC Capital Costs'!$R$40:$V$77, MATCH('Capital Costs - CC'!$S43, 'CC Capital Costs'!$D$40:$D$77, 0),Q$10))/1000000, "-")</f>
        <v>45.924358950116464</v>
      </c>
      <c r="S43" s="76" t="str">
        <f>'CC Capital Costs'!$D71</f>
        <v>Financing Fees</v>
      </c>
    </row>
    <row r="44" spans="1:26" s="1417" customFormat="1" ht="6" customHeight="1" x14ac:dyDescent="0.35">
      <c r="A44" s="1444"/>
      <c r="B44" s="1444"/>
      <c r="C44" s="1444"/>
      <c r="D44" s="384"/>
      <c r="E44" s="1479"/>
      <c r="F44" s="1480"/>
      <c r="G44" s="1472"/>
      <c r="H44" s="1472"/>
      <c r="I44" s="1436"/>
      <c r="J44" s="1436"/>
      <c r="K44" s="1436"/>
      <c r="L44" s="1473"/>
      <c r="M44" s="1436"/>
      <c r="N44" s="1436"/>
      <c r="O44" s="1436"/>
      <c r="P44" s="1436"/>
      <c r="Q44" s="1436"/>
      <c r="S44" s="72"/>
    </row>
    <row r="45" spans="1:26" s="1417" customFormat="1" ht="15" customHeight="1" x14ac:dyDescent="0.35">
      <c r="A45" s="1444"/>
      <c r="B45" s="1444"/>
      <c r="C45" s="1444"/>
      <c r="D45" s="1654" t="s">
        <v>557</v>
      </c>
      <c r="E45" s="69"/>
      <c r="F45" s="962"/>
      <c r="G45" s="962">
        <f>IFERROR(G$15+G$33,"-")</f>
        <v>1951.313617100664</v>
      </c>
      <c r="H45" s="962">
        <f>IFERROR(H$15+H$33,"-")</f>
        <v>1816.6819022263362</v>
      </c>
      <c r="I45" s="963">
        <f>IFERROR(I$15+I$33,"-")</f>
        <v>1808.8319620184395</v>
      </c>
      <c r="J45" s="963">
        <f>IFERROR(J$15+J$33,"-")</f>
        <v>1861.5807401125899</v>
      </c>
      <c r="K45" s="963">
        <f>IFERROR(K$15+K$33,"-")</f>
        <v>2149.4541135396275</v>
      </c>
      <c r="L45" s="964"/>
      <c r="M45" s="963">
        <f>IFERROR(M$15+M$33,"-")</f>
        <v>1956.1033475085212</v>
      </c>
      <c r="N45" s="963">
        <f>IFERROR(N$15+N$33,"-")</f>
        <v>1819.6704258049767</v>
      </c>
      <c r="O45" s="963">
        <f>IFERROR(O$15+O$33,"-")</f>
        <v>1811.3480851208428</v>
      </c>
      <c r="P45" s="963">
        <f>IFERROR(P$15+P$33,"-")</f>
        <v>1864.4943450842975</v>
      </c>
      <c r="Q45" s="963">
        <f>IFERROR(Q$15+Q$33,"-")</f>
        <v>2133.3952203190465</v>
      </c>
      <c r="S45" s="72"/>
    </row>
    <row r="46" spans="1:26" s="1417" customFormat="1" ht="6" customHeight="1" x14ac:dyDescent="0.35">
      <c r="A46" s="1444"/>
      <c r="B46" s="1444"/>
      <c r="C46" s="1444"/>
      <c r="D46" s="1873"/>
      <c r="E46" s="1944"/>
      <c r="F46" s="1945"/>
      <c r="G46" s="1945"/>
      <c r="H46" s="1945"/>
      <c r="I46" s="1876"/>
      <c r="J46" s="1876"/>
      <c r="K46" s="1876"/>
      <c r="L46" s="1946"/>
      <c r="M46" s="1876"/>
      <c r="N46" s="1876"/>
      <c r="O46" s="1876"/>
      <c r="P46" s="1876"/>
      <c r="Q46" s="1876"/>
      <c r="S46" s="72"/>
    </row>
    <row r="47" spans="1:26" s="1417" customFormat="1" ht="6" customHeight="1" x14ac:dyDescent="0.35">
      <c r="A47" s="1444"/>
      <c r="B47" s="1444"/>
      <c r="C47" s="1444"/>
      <c r="D47" s="1878"/>
      <c r="E47" s="1947"/>
      <c r="F47" s="1948"/>
      <c r="G47" s="1948"/>
      <c r="H47" s="1948"/>
      <c r="I47" s="1881"/>
      <c r="J47" s="1881"/>
      <c r="K47" s="1881"/>
      <c r="L47" s="1949"/>
      <c r="M47" s="1881"/>
      <c r="N47" s="1881"/>
      <c r="O47" s="1881"/>
      <c r="P47" s="1881"/>
      <c r="Q47" s="1881"/>
      <c r="S47" s="72"/>
    </row>
    <row r="48" spans="1:26" ht="15" customHeight="1" x14ac:dyDescent="0.35">
      <c r="A48" s="1421"/>
      <c r="B48" s="1421"/>
      <c r="C48" s="1421"/>
      <c r="D48" s="1957" t="s">
        <v>576</v>
      </c>
      <c r="E48" s="1959"/>
      <c r="F48" s="1978"/>
      <c r="G48" s="1964">
        <f>IFERROR(IF(Control!$H$10=Control!$J$10, (G$45*1000000)/(G$12*1000), "-"),0)</f>
        <v>1513.6776277018714</v>
      </c>
      <c r="H48" s="1964">
        <f>IFERROR(IF(Control!$H$10=Control!$J$10, (H$45*1000000)/(H$12*1000), "-"),0)</f>
        <v>1409.0495140187638</v>
      </c>
      <c r="I48" s="1958">
        <f>IFERROR(IF(Control!$H$10=Control!$J$10, (I$45*1000000)/(I$12*1000), "-"),0)</f>
        <v>1417.4199479200149</v>
      </c>
      <c r="J48" s="1958">
        <f>IFERROR(IF(Control!$H$10=Control!$J$10, (J$45*1000000)/(J$12*1000), "-"),0)</f>
        <v>1473.2835903290545</v>
      </c>
      <c r="K48" s="1958">
        <f>IFERROR(IF(Control!$H$10=Control!$J$10, (K$45*1000000)/(K$12*1000), "-"),0)</f>
        <v>1661.3496008190041</v>
      </c>
      <c r="L48" s="1958"/>
      <c r="M48" s="1958">
        <f>IF(Control!$H$10=Control!$J$10, (M$45*10^6)/(M$12*1000), "-")</f>
        <v>1517.3931287354108</v>
      </c>
      <c r="N48" s="1958">
        <f>IF(Control!$H$10=Control!$J$10, (N$45*10^6)/(N$12*1000), "-")</f>
        <v>1411.367463953178</v>
      </c>
      <c r="O48" s="1958">
        <f>IF(Control!$H$10=Control!$J$10, (O$45*10^6)/(O$12*1000), "-")</f>
        <v>1419.3916087219334</v>
      </c>
      <c r="P48" s="1958">
        <f>IF(Control!$H$10=Control!$J$10, (P$45*10^6)/(P$12*1000), "-")</f>
        <v>1475.5894620546389</v>
      </c>
      <c r="Q48" s="1958">
        <f>IF(Control!$H$10=Control!$J$10, (Q$45*10^6)/(Q$12*1000), "-")</f>
        <v>1648.9374094288503</v>
      </c>
    </row>
    <row r="49" spans="1:19" ht="15" customHeight="1" outlineLevel="1" x14ac:dyDescent="0.35">
      <c r="A49" s="1421"/>
      <c r="B49" s="1421"/>
      <c r="C49" s="1421"/>
      <c r="D49" s="1986" t="s">
        <v>615</v>
      </c>
      <c r="E49" s="1986"/>
      <c r="F49" s="1993"/>
      <c r="G49" s="2168" t="str">
        <f>IF(Control!$H$10=Control!$J$10, "n/a", "-")</f>
        <v>n/a</v>
      </c>
      <c r="H49" s="2168" t="str">
        <f>IF(Control!$H$10=Control!$J$10, "n/a", "-")</f>
        <v>n/a</v>
      </c>
      <c r="I49" s="1999" t="str">
        <f>IF(Control!$H$10=Control!$J$10, "n/a", "-")</f>
        <v>n/a</v>
      </c>
      <c r="J49" s="1999" t="str">
        <f>IF(Control!$H$10=Control!$J$10, "n/a", "-")</f>
        <v>n/a</v>
      </c>
      <c r="K49" s="1999" t="str">
        <f>IF(Control!$H$10=Control!$J$10, "n/a", "-")</f>
        <v>n/a</v>
      </c>
      <c r="L49" s="1994"/>
      <c r="M49" s="1958">
        <f>IF(Control!$H$10=Control!$J$10, _xlfn.XLOOKUP(M$11,Control!$I$79:$M$79,Control!$I$85:$M$85)*10^6/( 'CC Capital Costs'!R$35*10^3), "-")</f>
        <v>1929.0967058311862</v>
      </c>
      <c r="N49" s="1958">
        <f>IF(Control!$H$10=Control!$J$10, _xlfn.XLOOKUP(N$11,Control!$I$79:$M$79,Control!$I$85:$M$85)*10^6/( 'CC Capital Costs'!S$35*10^3), "-")</f>
        <v>1795.1408536316294</v>
      </c>
      <c r="O49" s="1958">
        <f>IF(Control!$H$10=Control!$J$10, _xlfn.XLOOKUP(O$11,Control!$I$79:$M$79,Control!$I$85:$M$85)*10^6/( 'CC Capital Costs'!T$35*10^3), "-")</f>
        <v>1805.6387768612319</v>
      </c>
      <c r="P49" s="1958">
        <f>IF(Control!$H$10=Control!$J$10, _xlfn.XLOOKUP(P$11,Control!$I$79:$M$79,Control!$I$85:$M$85)*10^6/( 'CC Capital Costs'!U$35*10^3), "-")</f>
        <v>1877.1292820398996</v>
      </c>
      <c r="Q49" s="1958">
        <f>IF(Control!$H$10=Control!$J$10, _xlfn.XLOOKUP(Q$11,Control!$I$79:$M$79,Control!$I$85:$M$85)*10^6/( 'CC Capital Costs'!V$35*10^3), "-")</f>
        <v>2095.6802364185346</v>
      </c>
      <c r="S49" s="71" t="str">
        <f>'Cash Flows'!$D$21</f>
        <v>Unit Installed Cost</v>
      </c>
    </row>
    <row r="50" spans="1:19" ht="6" customHeight="1" thickBot="1" x14ac:dyDescent="0.4">
      <c r="D50" s="1448"/>
      <c r="E50" s="1448"/>
      <c r="F50" s="1481"/>
      <c r="G50" s="1449"/>
      <c r="H50" s="1449"/>
      <c r="I50" s="1482"/>
      <c r="J50" s="1449"/>
      <c r="K50" s="1449"/>
      <c r="L50" s="1449"/>
      <c r="M50" s="1449"/>
      <c r="N50" s="1449"/>
      <c r="O50" s="1449"/>
      <c r="P50" s="1449"/>
      <c r="Q50" s="1449"/>
    </row>
    <row r="51" spans="1:19" ht="6" customHeight="1" thickTop="1" x14ac:dyDescent="0.35">
      <c r="D51" s="384" t="s">
        <v>114</v>
      </c>
      <c r="E51" s="384"/>
      <c r="F51" s="1483"/>
      <c r="G51" s="1450"/>
      <c r="H51" s="1450"/>
      <c r="I51" s="1484"/>
      <c r="J51" s="1450"/>
      <c r="K51" s="1450"/>
      <c r="L51" s="1450"/>
      <c r="M51" s="1450"/>
      <c r="N51" s="1450"/>
      <c r="O51" s="1450"/>
      <c r="P51" s="1450"/>
      <c r="Q51" s="1450"/>
    </row>
    <row r="52" spans="1:19" ht="15" customHeight="1" x14ac:dyDescent="0.35">
      <c r="D52" s="1397" t="s">
        <v>683</v>
      </c>
      <c r="E52" s="1397"/>
      <c r="F52" s="1397"/>
      <c r="G52" s="1397"/>
      <c r="H52" s="1397"/>
      <c r="I52" s="1397"/>
      <c r="J52" s="1397"/>
      <c r="K52" s="1397"/>
      <c r="L52" s="2179"/>
      <c r="M52" s="1397"/>
      <c r="N52" s="1397"/>
      <c r="O52" s="1397"/>
      <c r="P52" s="1397"/>
      <c r="Q52" s="1397"/>
    </row>
    <row r="53" spans="1:19" ht="15" customHeight="1" x14ac:dyDescent="0.35">
      <c r="D53" s="1429"/>
      <c r="E53" s="1429"/>
      <c r="F53" s="1465"/>
    </row>
    <row r="54" spans="1:19" ht="15" customHeight="1" x14ac:dyDescent="0.35">
      <c r="D54" s="384"/>
      <c r="E54" s="1429"/>
      <c r="F54" s="1465"/>
      <c r="G54" s="1453"/>
      <c r="H54" s="1453"/>
      <c r="I54" s="1486"/>
      <c r="J54" s="1453"/>
      <c r="K54" s="1453"/>
      <c r="L54" s="1453"/>
      <c r="M54" s="1453"/>
      <c r="N54" s="1453"/>
      <c r="O54" s="1453"/>
      <c r="P54" s="1453"/>
      <c r="Q54" s="1453"/>
    </row>
    <row r="55" spans="1:19" ht="15" customHeight="1" x14ac:dyDescent="0.35">
      <c r="D55" s="384"/>
      <c r="E55" s="1429"/>
      <c r="F55" s="1465"/>
      <c r="G55" s="1453"/>
      <c r="H55" s="1453"/>
      <c r="I55" s="1486"/>
      <c r="J55" s="1453"/>
      <c r="K55" s="1453"/>
      <c r="L55" s="1453"/>
      <c r="M55" s="1453"/>
      <c r="N55" s="1453"/>
      <c r="O55" s="1453"/>
      <c r="P55" s="1453"/>
      <c r="Q55" s="1453"/>
    </row>
    <row r="56" spans="1:19" ht="15" customHeight="1" x14ac:dyDescent="0.35">
      <c r="D56" s="1429"/>
      <c r="E56" s="1429"/>
      <c r="F56" s="1465"/>
      <c r="G56" s="1429"/>
      <c r="H56" s="1429"/>
      <c r="I56" s="189"/>
      <c r="J56" s="1429"/>
      <c r="K56" s="1429"/>
      <c r="L56" s="1429"/>
      <c r="M56" s="1429"/>
      <c r="N56" s="1429"/>
      <c r="O56" s="1429"/>
      <c r="P56" s="1429"/>
      <c r="Q56" s="1429"/>
    </row>
    <row r="57" spans="1:19" ht="15" customHeight="1" x14ac:dyDescent="0.35">
      <c r="D57" s="1429"/>
      <c r="E57" s="1429"/>
      <c r="F57" s="1465"/>
      <c r="G57" s="1429"/>
      <c r="H57" s="1429"/>
      <c r="I57" s="189"/>
      <c r="J57" s="1429"/>
      <c r="K57" s="1429"/>
      <c r="L57" s="1429"/>
      <c r="M57" s="1429"/>
      <c r="N57" s="1429"/>
      <c r="O57" s="1429"/>
      <c r="P57" s="1429"/>
      <c r="Q57" s="1429"/>
    </row>
    <row r="58" spans="1:19" ht="15" customHeight="1" x14ac:dyDescent="0.35">
      <c r="D58" s="1429"/>
      <c r="E58" s="1429"/>
      <c r="F58" s="1465"/>
      <c r="G58" s="1429"/>
      <c r="H58" s="1429"/>
      <c r="I58" s="189"/>
      <c r="J58" s="1429"/>
      <c r="K58" s="1429"/>
      <c r="L58" s="1429"/>
      <c r="M58" s="1429"/>
      <c r="N58" s="1429"/>
      <c r="O58" s="1429"/>
      <c r="P58" s="1429"/>
      <c r="Q58" s="1429"/>
    </row>
  </sheetData>
  <mergeCells count="2">
    <mergeCell ref="M7:Q7"/>
    <mergeCell ref="G7:K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D169-2A82-4CF0-ABE8-293956833AC3}">
  <sheetPr codeName="Sheet11">
    <pageSetUpPr autoPageBreaks="0"/>
  </sheetPr>
  <dimension ref="A1:T42"/>
  <sheetViews>
    <sheetView showGridLines="0" zoomScale="70" zoomScaleNormal="70" workbookViewId="0"/>
  </sheetViews>
  <sheetFormatPr defaultColWidth="9.453125" defaultRowHeight="14.5" outlineLevelRow="1" outlineLevelCol="1" x14ac:dyDescent="0.35"/>
  <cols>
    <col min="1" max="3" width="13.54296875" style="1443" customWidth="1"/>
    <col min="4" max="4" width="39.90625" style="83" customWidth="1"/>
    <col min="5" max="5" width="15.453125" style="83" customWidth="1"/>
    <col min="6" max="6" width="0.81640625" style="83" customWidth="1"/>
    <col min="7" max="10" width="12.81640625" style="83" customWidth="1"/>
    <col min="11" max="11" width="13.1796875" style="83" customWidth="1"/>
    <col min="12" max="12" width="0.81640625" style="83" customWidth="1"/>
    <col min="13" max="17" width="12.81640625" style="83" customWidth="1"/>
    <col min="18" max="18" width="9.453125" style="83"/>
    <col min="19" max="19" width="31.54296875" style="71" hidden="1" customWidth="1" outlineLevel="1"/>
    <col min="20" max="20" width="9.453125" style="83" collapsed="1"/>
    <col min="21" max="16384" width="9.453125" style="83"/>
  </cols>
  <sheetData>
    <row r="1" spans="1:19" ht="15" customHeight="1" x14ac:dyDescent="0.35">
      <c r="A1" s="1324" t="s">
        <v>275</v>
      </c>
      <c r="B1" s="1487"/>
      <c r="D1" s="37"/>
      <c r="E1" s="37"/>
      <c r="S1" s="143"/>
    </row>
    <row r="2" spans="1:19" ht="15" customHeight="1" x14ac:dyDescent="0.35">
      <c r="F2" s="1414"/>
      <c r="G2" s="1414"/>
      <c r="H2" s="1414"/>
      <c r="I2" s="2059"/>
    </row>
    <row r="3" spans="1:19" ht="15" customHeight="1" x14ac:dyDescent="0.35">
      <c r="D3" s="88" t="str">
        <f>LEFT(D4,FIND(":",D4)-1)</f>
        <v>Table T8</v>
      </c>
      <c r="F3" s="1414"/>
      <c r="G3" s="1414"/>
      <c r="H3" s="1414"/>
      <c r="I3" s="1414"/>
    </row>
    <row r="4" spans="1:19" ht="15" customHeight="1" x14ac:dyDescent="0.45">
      <c r="D4" s="1655" t="str">
        <f>ToC!$J$15</f>
        <v>Table T8: Capital Costs for BESS Resource (Nominal$)</v>
      </c>
      <c r="E4" s="1488"/>
      <c r="F4" s="1488"/>
      <c r="G4" s="1488"/>
      <c r="H4" s="1488"/>
      <c r="I4" s="1488"/>
      <c r="J4" s="1488"/>
      <c r="K4" s="1488"/>
      <c r="L4" s="1488"/>
      <c r="M4" s="1488"/>
      <c r="N4" s="1488"/>
      <c r="O4" s="1488"/>
      <c r="P4" s="1488"/>
      <c r="Q4" s="1488"/>
    </row>
    <row r="5" spans="1:19" ht="6" customHeight="1" thickBot="1" x14ac:dyDescent="0.4">
      <c r="D5" s="1489"/>
      <c r="E5" s="1489"/>
      <c r="F5" s="1489"/>
      <c r="G5" s="1489"/>
      <c r="H5" s="1489"/>
      <c r="I5" s="1489"/>
      <c r="J5" s="1489"/>
      <c r="K5" s="1489"/>
      <c r="L5" s="1489"/>
      <c r="M5" s="1489"/>
      <c r="N5" s="1489"/>
      <c r="O5" s="1489"/>
      <c r="P5" s="1489"/>
      <c r="Q5" s="1489"/>
    </row>
    <row r="6" spans="1:19" ht="6" customHeight="1" thickTop="1" x14ac:dyDescent="0.35">
      <c r="D6" s="114"/>
      <c r="E6" s="114"/>
      <c r="F6" s="114"/>
    </row>
    <row r="7" spans="1:19" x14ac:dyDescent="0.35">
      <c r="D7" s="1402" t="s">
        <v>566</v>
      </c>
      <c r="E7" s="1427" t="s">
        <v>543</v>
      </c>
      <c r="F7" s="1490"/>
      <c r="G7" s="2192" t="str">
        <f>"Current Overnight Capital Costs: "&amp;TEXT(Control!$H$18,"mm/yyyy")</f>
        <v>Current Overnight Capital Costs: 01/2025</v>
      </c>
      <c r="H7" s="2192"/>
      <c r="I7" s="2192"/>
      <c r="J7" s="2192"/>
      <c r="K7" s="2192"/>
      <c r="L7" s="1491"/>
      <c r="M7" s="2191" t="str">
        <f>"Escalated Overnight Capital Costs: "&amp;TEXT(Control!$H$19,"mm/yyyy")</f>
        <v>Escalated Overnight Capital Costs: 06/2028</v>
      </c>
      <c r="N7" s="2191"/>
      <c r="O7" s="2191"/>
      <c r="P7" s="2191"/>
      <c r="Q7" s="2191"/>
    </row>
    <row r="8" spans="1:19" ht="6" customHeight="1" x14ac:dyDescent="0.35">
      <c r="D8" s="1402"/>
      <c r="E8" s="1490"/>
      <c r="F8" s="1490"/>
      <c r="G8" s="1491"/>
      <c r="H8" s="1491"/>
      <c r="I8" s="1491"/>
      <c r="J8" s="1491"/>
      <c r="K8" s="1491"/>
      <c r="L8" s="1491"/>
      <c r="M8" s="1491"/>
      <c r="N8" s="1491"/>
      <c r="O8" s="1491"/>
      <c r="P8" s="1491"/>
      <c r="Q8" s="1491"/>
    </row>
    <row r="9" spans="1:19" ht="15" customHeight="1" x14ac:dyDescent="0.35">
      <c r="A9" s="1421"/>
      <c r="B9" s="1421"/>
      <c r="C9" s="1421"/>
      <c r="D9" s="1402" t="s">
        <v>24</v>
      </c>
      <c r="E9" s="1094"/>
      <c r="F9" s="1423"/>
      <c r="G9" s="1428" t="s">
        <v>259</v>
      </c>
      <c r="H9" s="1428" t="s">
        <v>259</v>
      </c>
      <c r="I9" s="1428" t="s">
        <v>259</v>
      </c>
      <c r="J9" s="1428" t="s">
        <v>259</v>
      </c>
      <c r="K9" s="1428" t="s">
        <v>259</v>
      </c>
      <c r="L9" s="326"/>
      <c r="M9" s="1428" t="str">
        <f>'BESS Capital Costs'!R$27</f>
        <v>Nominal$</v>
      </c>
      <c r="N9" s="1428" t="str">
        <f>'BESS Capital Costs'!S$27</f>
        <v>Nominal$</v>
      </c>
      <c r="O9" s="1428" t="str">
        <f>'BESS Capital Costs'!T$27</f>
        <v>Nominal$</v>
      </c>
      <c r="P9" s="1428" t="str">
        <f>'BESS Capital Costs'!U$27</f>
        <v>Nominal$</v>
      </c>
      <c r="Q9" s="1428" t="str">
        <f>'BESS Capital Costs'!V$27</f>
        <v>Nominal$</v>
      </c>
    </row>
    <row r="10" spans="1:19" ht="15" hidden="1" customHeight="1" outlineLevel="1" x14ac:dyDescent="0.35">
      <c r="D10" s="1402" t="s">
        <v>287</v>
      </c>
      <c r="E10" s="1429"/>
      <c r="F10" s="1429"/>
      <c r="G10" s="1405">
        <v>1</v>
      </c>
      <c r="H10" s="1405">
        <v>2</v>
      </c>
      <c r="I10" s="1405">
        <v>3</v>
      </c>
      <c r="J10" s="1405">
        <v>4</v>
      </c>
      <c r="K10" s="1378">
        <v>5</v>
      </c>
      <c r="L10" s="1378"/>
      <c r="M10" s="1405">
        <v>1</v>
      </c>
      <c r="N10" s="1405">
        <v>2</v>
      </c>
      <c r="O10" s="1405">
        <v>3</v>
      </c>
      <c r="P10" s="1405">
        <v>4</v>
      </c>
      <c r="Q10" s="1378">
        <v>5</v>
      </c>
    </row>
    <row r="11" spans="1:19" ht="15" customHeight="1" collapsed="1" x14ac:dyDescent="0.35">
      <c r="D11" s="1402" t="s">
        <v>287</v>
      </c>
      <c r="E11" s="1492"/>
      <c r="F11" s="1429"/>
      <c r="G11" s="1380" t="s">
        <v>288</v>
      </c>
      <c r="H11" s="1380" t="s">
        <v>289</v>
      </c>
      <c r="I11" s="1380" t="s">
        <v>290</v>
      </c>
      <c r="J11" s="1380" t="s">
        <v>291</v>
      </c>
      <c r="K11" s="1467" t="s">
        <v>299</v>
      </c>
      <c r="L11" s="1381"/>
      <c r="M11" s="1380" t="s">
        <v>288</v>
      </c>
      <c r="N11" s="1380" t="s">
        <v>289</v>
      </c>
      <c r="O11" s="1380" t="s">
        <v>290</v>
      </c>
      <c r="P11" s="1380" t="s">
        <v>291</v>
      </c>
      <c r="Q11" s="1467" t="s">
        <v>299</v>
      </c>
    </row>
    <row r="12" spans="1:19" ht="15" customHeight="1" x14ac:dyDescent="0.35">
      <c r="D12" s="1402" t="str">
        <f>Control!$D$42&amp;" (MW)"</f>
        <v>Net Summer Capacity (MW)</v>
      </c>
      <c r="E12" s="1429"/>
      <c r="F12" s="1493"/>
      <c r="G12" s="1493" t="str">
        <f>IF(Control!$H$10=Control!$K$10,'BESS Capital Costs'!K$35,"-")</f>
        <v>-</v>
      </c>
      <c r="H12" s="1493" t="str">
        <f>IF(Control!$H$10=Control!$K$10,'BESS Capital Costs'!L$35,"-")</f>
        <v>-</v>
      </c>
      <c r="I12" s="1493" t="str">
        <f>IF(Control!$H$10=Control!$K$10,'BESS Capital Costs'!M$35,"-")</f>
        <v>-</v>
      </c>
      <c r="J12" s="1493" t="str">
        <f>IF(Control!$H$10=Control!$K$10,'BESS Capital Costs'!N$35,"-")</f>
        <v>-</v>
      </c>
      <c r="K12" s="1493" t="str">
        <f>IF(Control!$H$10=Control!$K$10,'BESS Capital Costs'!O$35,"-")</f>
        <v>-</v>
      </c>
      <c r="L12" s="1493"/>
      <c r="M12" s="1493" t="str">
        <f>IF(Control!$H$10=Control!$K$10,'BESS Capital Costs'!R$35,"-")</f>
        <v>-</v>
      </c>
      <c r="N12" s="1493" t="str">
        <f>IF(Control!$H$10=Control!$K$10,'BESS Capital Costs'!S$35,"-")</f>
        <v>-</v>
      </c>
      <c r="O12" s="1493" t="str">
        <f>IF(Control!$H$10=Control!$K$10,'BESS Capital Costs'!T$35,"-")</f>
        <v>-</v>
      </c>
      <c r="P12" s="1493" t="str">
        <f>IF(Control!$H$10=Control!$K$10,'BESS Capital Costs'!U$35,"-")</f>
        <v>-</v>
      </c>
      <c r="Q12" s="1493" t="str">
        <f>IF(Control!$H$10=Control!$K$10,'BESS Capital Costs'!V$35,"-")</f>
        <v>-</v>
      </c>
      <c r="S12" s="197"/>
    </row>
    <row r="13" spans="1:19" ht="6" customHeight="1" x14ac:dyDescent="0.35">
      <c r="D13" s="1434"/>
      <c r="E13" s="1434"/>
      <c r="F13" s="1434"/>
      <c r="G13" s="994"/>
      <c r="H13" s="994"/>
      <c r="I13" s="994"/>
      <c r="J13" s="994"/>
      <c r="K13" s="994"/>
      <c r="L13" s="994"/>
      <c r="M13" s="994"/>
      <c r="N13" s="994"/>
      <c r="O13" s="994"/>
      <c r="P13" s="994"/>
      <c r="Q13" s="994"/>
    </row>
    <row r="14" spans="1:19" ht="6" customHeight="1" x14ac:dyDescent="0.35">
      <c r="D14" s="1435"/>
      <c r="E14" s="1435"/>
      <c r="F14" s="1435"/>
      <c r="G14" s="1381"/>
      <c r="H14" s="1381"/>
      <c r="I14" s="1381"/>
      <c r="J14" s="1381"/>
      <c r="K14" s="1381"/>
      <c r="L14" s="1381"/>
      <c r="M14" s="1381"/>
      <c r="N14" s="1381"/>
      <c r="O14" s="1381"/>
      <c r="P14" s="1381"/>
      <c r="Q14" s="1381"/>
    </row>
    <row r="15" spans="1:19" ht="15" customHeight="1" x14ac:dyDescent="0.35">
      <c r="D15" s="1654" t="s">
        <v>658</v>
      </c>
      <c r="E15" s="968"/>
      <c r="F15" s="971"/>
      <c r="G15" s="970" t="str">
        <f>IF(Control!$H$10=Control!$K$10,SUM(G17:G21),"-")</f>
        <v>-</v>
      </c>
      <c r="H15" s="970" t="str">
        <f>IF(Control!$H$10=Control!$K$10,SUM(H17:H21),"-")</f>
        <v>-</v>
      </c>
      <c r="I15" s="970" t="str">
        <f>IF(Control!$H$10=Control!$K$10,SUM(I17:I21),"-")</f>
        <v>-</v>
      </c>
      <c r="J15" s="970" t="str">
        <f>IF(Control!$H$10=Control!$K$10,SUM(J17:J21),"-")</f>
        <v>-</v>
      </c>
      <c r="K15" s="970" t="str">
        <f>IF(Control!$H$10=Control!$K$10,SUM(K17:K21),"-")</f>
        <v>-</v>
      </c>
      <c r="L15" s="946"/>
      <c r="M15" s="970" t="str">
        <f>IF(Control!$H$10=Control!$K$10,SUM(M17:M21),"-")</f>
        <v>-</v>
      </c>
      <c r="N15" s="970" t="str">
        <f>IF(Control!$H$10=Control!$K$10,SUM(N17:N21),"-")</f>
        <v>-</v>
      </c>
      <c r="O15" s="970" t="str">
        <f>IF(Control!$H$10=Control!$K$10,SUM(O17:O21),"-")</f>
        <v>-</v>
      </c>
      <c r="P15" s="970" t="str">
        <f>IF(Control!$H$10=Control!$K$10,SUM(P17:P21),"-")</f>
        <v>-</v>
      </c>
      <c r="Q15" s="970" t="str">
        <f>IF(Control!$H$10=Control!$K$10,SUM(Q17:Q21),"-")</f>
        <v>-</v>
      </c>
      <c r="S15" s="198" t="s">
        <v>269</v>
      </c>
    </row>
    <row r="16" spans="1:19" ht="15" customHeight="1" x14ac:dyDescent="0.35">
      <c r="D16" s="1883" t="s">
        <v>198</v>
      </c>
      <c r="E16" s="948"/>
      <c r="F16" s="972"/>
      <c r="G16" s="949"/>
      <c r="H16" s="949"/>
      <c r="I16" s="949"/>
      <c r="J16" s="949"/>
      <c r="K16" s="949"/>
      <c r="L16" s="949"/>
      <c r="M16" s="949"/>
      <c r="N16" s="949"/>
      <c r="O16" s="949"/>
      <c r="P16" s="949"/>
      <c r="Q16" s="949"/>
    </row>
    <row r="17" spans="1:19" ht="15" customHeight="1" x14ac:dyDescent="0.35">
      <c r="D17" s="189" t="str">
        <f>S17</f>
        <v>Batteries and Enclosures</v>
      </c>
      <c r="E17" s="1902">
        <f>_xlfn.XLOOKUP($S17,'BESS Capital Costs'!$D$42:$D$56,'BESS Capital Costs'!$H$42:$H$56)</f>
        <v>5.5158746872151942E-2</v>
      </c>
      <c r="F17" s="1903"/>
      <c r="G17" s="1592" t="str" cm="1">
        <f t="array" ref="G17">IF(Control!$H$10=Control!$K$10,INDEX('BESS Capital Costs'!$K$42:$O$47,MATCH('Capital Costs - BESS'!$S17,'BESS Capital Costs'!$D$42:$D$47,0),G$10)/1000000,"-")</f>
        <v>-</v>
      </c>
      <c r="H17" s="1592" t="str" cm="1">
        <f t="array" ref="H17">IF(Control!$H$10=Control!$K$10,INDEX('BESS Capital Costs'!$K$42:$O$47,MATCH('Capital Costs - BESS'!$S17,'BESS Capital Costs'!$D$42:$D$47,0),H$10)/1000000,"-")</f>
        <v>-</v>
      </c>
      <c r="I17" s="1592" t="str" cm="1">
        <f t="array" ref="I17">IF(Control!$H$10=Control!$K$10,INDEX('BESS Capital Costs'!$K$42:$O$47,MATCH('Capital Costs - BESS'!$S17,'BESS Capital Costs'!$D$42:$D$47,0),I$10)/1000000,"-")</f>
        <v>-</v>
      </c>
      <c r="J17" s="1592" t="str" cm="1">
        <f t="array" ref="J17">IF(Control!$H$10=Control!$K$10,INDEX('BESS Capital Costs'!$K$42:$O$47,MATCH('Capital Costs - BESS'!$S17,'BESS Capital Costs'!$D$42:$D$47,0),J$10)/1000000,"-")</f>
        <v>-</v>
      </c>
      <c r="K17" s="1592" t="str" cm="1">
        <f t="array" ref="K17">IF(Control!$H$10=Control!$K$10,INDEX('BESS Capital Costs'!$K$42:$O$47,MATCH('Capital Costs - BESS'!$S17,'BESS Capital Costs'!$D$42:$D$47,0),K$10)/1000000,"-")</f>
        <v>-</v>
      </c>
      <c r="L17" s="1592"/>
      <c r="M17" s="1592" t="str" cm="1">
        <f t="array" ref="M17">IF(Control!$H$10=Control!$K$10,INDEX('BESS Capital Costs'!$R$42:$V$47,MATCH('Capital Costs - BESS'!$S17,'BESS Capital Costs'!$D$42:$D$47,0),M$10)/1000000,"-")</f>
        <v>-</v>
      </c>
      <c r="N17" s="1592" t="str" cm="1">
        <f t="array" ref="N17">IF(Control!$H$10=Control!$K$10,INDEX('BESS Capital Costs'!$R$42:$V$47,MATCH('Capital Costs - BESS'!$S17,'BESS Capital Costs'!$D$42:$D$47,0),N$10)/1000000,"-")</f>
        <v>-</v>
      </c>
      <c r="O17" s="1592" t="str" cm="1">
        <f t="array" ref="O17">IF(Control!$H$10=Control!$K$10,INDEX('BESS Capital Costs'!$R$42:$V$47,MATCH('Capital Costs - BESS'!$S17,'BESS Capital Costs'!$D$42:$D$47,0),O$10)/1000000,"-")</f>
        <v>-</v>
      </c>
      <c r="P17" s="1592" t="str" cm="1">
        <f t="array" ref="P17">IF(Control!$H$10=Control!$K$10,INDEX('BESS Capital Costs'!$R$42:$V$47,MATCH('Capital Costs - BESS'!$S17,'BESS Capital Costs'!$D$42:$D$47,0),P$10)/1000000,"-")</f>
        <v>-</v>
      </c>
      <c r="Q17" s="1592" t="str" cm="1">
        <f t="array" ref="Q17">IF(Control!$H$10=Control!$K$10,INDEX('BESS Capital Costs'!$R$42:$V$47,MATCH('Capital Costs - BESS'!$S17,'BESS Capital Costs'!$D$42:$D$47,0),Q$10)/1000000,"-")</f>
        <v>-</v>
      </c>
      <c r="R17" s="1414"/>
      <c r="S17" s="71" t="str">
        <f>'BESS Capital Costs'!$D42</f>
        <v>Batteries and Enclosures</v>
      </c>
    </row>
    <row r="18" spans="1:19" ht="15" customHeight="1" x14ac:dyDescent="0.35">
      <c r="D18" s="1889" t="str">
        <f t="shared" ref="D18:D21" si="0">S18</f>
        <v>PCS and BOP Equipment</v>
      </c>
      <c r="E18" s="1904">
        <f>_xlfn.XLOOKUP($S18,'BESS Capital Costs'!$D$42:$D$56,'BESS Capital Costs'!$H$42:$H$56)</f>
        <v>5.5158746872151942E-2</v>
      </c>
      <c r="F18" s="1905"/>
      <c r="G18" s="1906" t="str" cm="1">
        <f t="array" ref="G18">IF(Control!$H$10=Control!$K$10,INDEX('BESS Capital Costs'!$K$42:$O$47,MATCH('Capital Costs - BESS'!$S18,'BESS Capital Costs'!$D$42:$D$47,0),G$10)/1000000,"-")</f>
        <v>-</v>
      </c>
      <c r="H18" s="1906" t="str" cm="1">
        <f t="array" ref="H18">IF(Control!$H$10=Control!$K$10,INDEX('BESS Capital Costs'!$K$42:$O$47,MATCH('Capital Costs - BESS'!$S18,'BESS Capital Costs'!$D$42:$D$47,0),H$10)/1000000,"-")</f>
        <v>-</v>
      </c>
      <c r="I18" s="1906" t="str" cm="1">
        <f t="array" ref="I18">IF(Control!$H$10=Control!$K$10,INDEX('BESS Capital Costs'!$K$42:$O$47,MATCH('Capital Costs - BESS'!$S18,'BESS Capital Costs'!$D$42:$D$47,0),I$10)/1000000,"-")</f>
        <v>-</v>
      </c>
      <c r="J18" s="1906" t="str" cm="1">
        <f t="array" ref="J18">IF(Control!$H$10=Control!$K$10,INDEX('BESS Capital Costs'!$K$42:$O$47,MATCH('Capital Costs - BESS'!$S18,'BESS Capital Costs'!$D$42:$D$47,0),J$10)/1000000,"-")</f>
        <v>-</v>
      </c>
      <c r="K18" s="1906" t="str" cm="1">
        <f t="array" ref="K18">IF(Control!$H$10=Control!$K$10,INDEX('BESS Capital Costs'!$K$42:$O$47,MATCH('Capital Costs - BESS'!$S18,'BESS Capital Costs'!$D$42:$D$47,0),K$10)/1000000,"-")</f>
        <v>-</v>
      </c>
      <c r="L18" s="1906"/>
      <c r="M18" s="1906" t="str" cm="1">
        <f t="array" ref="M18">IF(Control!$H$10=Control!$K$10,INDEX('BESS Capital Costs'!$R$42:$V$47,MATCH('Capital Costs - BESS'!$S18,'BESS Capital Costs'!$D$42:$D$47,0),M$10)/1000000,"-")</f>
        <v>-</v>
      </c>
      <c r="N18" s="1906" t="str" cm="1">
        <f t="array" ref="N18">IF(Control!$H$10=Control!$K$10,INDEX('BESS Capital Costs'!$R$42:$V$47,MATCH('Capital Costs - BESS'!$S18,'BESS Capital Costs'!$D$42:$D$47,0),N$10)/1000000,"-")</f>
        <v>-</v>
      </c>
      <c r="O18" s="1906" t="str" cm="1">
        <f t="array" ref="O18">IF(Control!$H$10=Control!$K$10,INDEX('BESS Capital Costs'!$R$42:$V$47,MATCH('Capital Costs - BESS'!$S18,'BESS Capital Costs'!$D$42:$D$47,0),O$10)/1000000,"-")</f>
        <v>-</v>
      </c>
      <c r="P18" s="1906" t="str" cm="1">
        <f t="array" ref="P18">IF(Control!$H$10=Control!$K$10,INDEX('BESS Capital Costs'!$R$42:$V$47,MATCH('Capital Costs - BESS'!$S18,'BESS Capital Costs'!$D$42:$D$47,0),P$10)/1000000,"-")</f>
        <v>-</v>
      </c>
      <c r="Q18" s="1906" t="str" cm="1">
        <f t="array" ref="Q18">IF(Control!$H$10=Control!$K$10,INDEX('BESS Capital Costs'!$R$42:$V$47,MATCH('Capital Costs - BESS'!$S18,'BESS Capital Costs'!$D$42:$D$47,0),Q$10)/1000000,"-")</f>
        <v>-</v>
      </c>
      <c r="R18" s="1414"/>
      <c r="S18" s="71" t="str">
        <f>'BESS Capital Costs'!$D43</f>
        <v>PCS and BOP Equipment</v>
      </c>
    </row>
    <row r="19" spans="1:19" ht="15" customHeight="1" x14ac:dyDescent="0.35">
      <c r="D19" s="1596" t="str">
        <f t="shared" si="0"/>
        <v>Project Management</v>
      </c>
      <c r="E19" s="1902">
        <f>_xlfn.XLOOKUP($S19,'BESS Capital Costs'!$D$42:$D$56,'BESS Capital Costs'!$H$42:$H$56)</f>
        <v>6.788357632263553E-2</v>
      </c>
      <c r="F19" s="1907"/>
      <c r="G19" s="1592" t="str" cm="1">
        <f t="array" ref="G19">IF(Control!$H$10=Control!$K$10,INDEX('BESS Capital Costs'!$K$42:$O$47,MATCH('Capital Costs - BESS'!$S19,'BESS Capital Costs'!$D$42:$D$47,0),G$10)/1000000,"-")</f>
        <v>-</v>
      </c>
      <c r="H19" s="1592" t="str" cm="1">
        <f t="array" ref="H19">IF(Control!$H$10=Control!$K$10,INDEX('BESS Capital Costs'!$K$42:$O$47,MATCH('Capital Costs - BESS'!$S19,'BESS Capital Costs'!$D$42:$D$47,0),H$10)/1000000,"-")</f>
        <v>-</v>
      </c>
      <c r="I19" s="1592" t="str" cm="1">
        <f t="array" ref="I19">IF(Control!$H$10=Control!$K$10,INDEX('BESS Capital Costs'!$K$42:$O$47,MATCH('Capital Costs - BESS'!$S19,'BESS Capital Costs'!$D$42:$D$47,0),I$10)/1000000,"-")</f>
        <v>-</v>
      </c>
      <c r="J19" s="1592" t="str" cm="1">
        <f t="array" ref="J19">IF(Control!$H$10=Control!$K$10,INDEX('BESS Capital Costs'!$K$42:$O$47,MATCH('Capital Costs - BESS'!$S19,'BESS Capital Costs'!$D$42:$D$47,0),J$10)/1000000,"-")</f>
        <v>-</v>
      </c>
      <c r="K19" s="1592" t="str" cm="1">
        <f t="array" ref="K19">IF(Control!$H$10=Control!$K$10,INDEX('BESS Capital Costs'!$K$42:$O$47,MATCH('Capital Costs - BESS'!$S19,'BESS Capital Costs'!$D$42:$D$47,0),K$10)/1000000,"-")</f>
        <v>-</v>
      </c>
      <c r="L19" s="1592"/>
      <c r="M19" s="1592" t="str" cm="1">
        <f t="array" ref="M19">IF(Control!$H$10=Control!$K$10,INDEX('BESS Capital Costs'!$R$42:$V$47,MATCH('Capital Costs - BESS'!$S19,'BESS Capital Costs'!$D$42:$D$47,0),M$10)/1000000,"-")</f>
        <v>-</v>
      </c>
      <c r="N19" s="1592" t="str" cm="1">
        <f t="array" ref="N19">IF(Control!$H$10=Control!$K$10,INDEX('BESS Capital Costs'!$R$42:$V$47,MATCH('Capital Costs - BESS'!$S19,'BESS Capital Costs'!$D$42:$D$47,0),N$10)/1000000,"-")</f>
        <v>-</v>
      </c>
      <c r="O19" s="1592" t="str" cm="1">
        <f t="array" ref="O19">IF(Control!$H$10=Control!$K$10,INDEX('BESS Capital Costs'!$R$42:$V$47,MATCH('Capital Costs - BESS'!$S19,'BESS Capital Costs'!$D$42:$D$47,0),O$10)/1000000,"-")</f>
        <v>-</v>
      </c>
      <c r="P19" s="1592" t="str" cm="1">
        <f t="array" ref="P19">IF(Control!$H$10=Control!$K$10,INDEX('BESS Capital Costs'!$R$42:$V$47,MATCH('Capital Costs - BESS'!$S19,'BESS Capital Costs'!$D$42:$D$47,0),P$10)/1000000,"-")</f>
        <v>-</v>
      </c>
      <c r="Q19" s="1592" t="str" cm="1">
        <f t="array" ref="Q19">IF(Control!$H$10=Control!$K$10,INDEX('BESS Capital Costs'!$R$42:$V$47,MATCH('Capital Costs - BESS'!$S19,'BESS Capital Costs'!$D$42:$D$47,0),Q$10)/1000000,"-")</f>
        <v>-</v>
      </c>
      <c r="R19" s="1414"/>
      <c r="S19" s="71" t="str">
        <f>'BESS Capital Costs'!$D44</f>
        <v>Project Management</v>
      </c>
    </row>
    <row r="20" spans="1:19" ht="15" customHeight="1" x14ac:dyDescent="0.35">
      <c r="D20" s="1883" t="str">
        <f t="shared" si="0"/>
        <v>Construction &amp; Materials</v>
      </c>
      <c r="E20" s="1904">
        <f>_xlfn.XLOOKUP($S20,'BESS Capital Costs'!$D$42:$D$56,'BESS Capital Costs'!$H$42:$H$56)</f>
        <v>6.788357632263553E-2</v>
      </c>
      <c r="F20" s="1905"/>
      <c r="G20" s="1906" t="str" cm="1">
        <f t="array" ref="G20">IF(Control!$H$10=Control!$K$10,INDEX('BESS Capital Costs'!$K$42:$O$47,MATCH('Capital Costs - BESS'!$S20,'BESS Capital Costs'!$D$42:$D$47,0),G$10)/1000000,"-")</f>
        <v>-</v>
      </c>
      <c r="H20" s="1906" t="str" cm="1">
        <f t="array" ref="H20">IF(Control!$H$10=Control!$K$10,INDEX('BESS Capital Costs'!$K$42:$O$47,MATCH('Capital Costs - BESS'!$S20,'BESS Capital Costs'!$D$42:$D$47,0),H$10)/1000000,"-")</f>
        <v>-</v>
      </c>
      <c r="I20" s="1906" t="str" cm="1">
        <f t="array" ref="I20">IF(Control!$H$10=Control!$K$10,INDEX('BESS Capital Costs'!$K$42:$O$47,MATCH('Capital Costs - BESS'!$S20,'BESS Capital Costs'!$D$42:$D$47,0),I$10)/1000000,"-")</f>
        <v>-</v>
      </c>
      <c r="J20" s="1906" t="str" cm="1">
        <f t="array" ref="J20">IF(Control!$H$10=Control!$K$10,INDEX('BESS Capital Costs'!$K$42:$O$47,MATCH('Capital Costs - BESS'!$S20,'BESS Capital Costs'!$D$42:$D$47,0),J$10)/1000000,"-")</f>
        <v>-</v>
      </c>
      <c r="K20" s="1906" t="str" cm="1">
        <f t="array" ref="K20">IF(Control!$H$10=Control!$K$10,INDEX('BESS Capital Costs'!$K$42:$O$47,MATCH('Capital Costs - BESS'!$S20,'BESS Capital Costs'!$D$42:$D$47,0),K$10)/1000000,"-")</f>
        <v>-</v>
      </c>
      <c r="L20" s="1291"/>
      <c r="M20" s="1906" t="str" cm="1">
        <f t="array" ref="M20">IF(Control!$H$10=Control!$K$10,INDEX('BESS Capital Costs'!$R$42:$V$47,MATCH('Capital Costs - BESS'!$S20,'BESS Capital Costs'!$D$42:$D$47,0),M$10)/1000000,"-")</f>
        <v>-</v>
      </c>
      <c r="N20" s="1906" t="str" cm="1">
        <f t="array" ref="N20">IF(Control!$H$10=Control!$K$10,INDEX('BESS Capital Costs'!$R$42:$V$47,MATCH('Capital Costs - BESS'!$S20,'BESS Capital Costs'!$D$42:$D$47,0),N$10)/1000000,"-")</f>
        <v>-</v>
      </c>
      <c r="O20" s="1906" t="str" cm="1">
        <f t="array" ref="O20">IF(Control!$H$10=Control!$K$10,INDEX('BESS Capital Costs'!$R$42:$V$47,MATCH('Capital Costs - BESS'!$S20,'BESS Capital Costs'!$D$42:$D$47,0),O$10)/1000000,"-")</f>
        <v>-</v>
      </c>
      <c r="P20" s="1906" t="str" cm="1">
        <f t="array" ref="P20">IF(Control!$H$10=Control!$K$10,INDEX('BESS Capital Costs'!$R$42:$V$47,MATCH('Capital Costs - BESS'!$S20,'BESS Capital Costs'!$D$42:$D$47,0),P$10)/1000000,"-")</f>
        <v>-</v>
      </c>
      <c r="Q20" s="1906" t="str" cm="1">
        <f t="array" ref="Q20">IF(Control!$H$10=Control!$K$10,INDEX('BESS Capital Costs'!$R$42:$V$47,MATCH('Capital Costs - BESS'!$S20,'BESS Capital Costs'!$D$42:$D$47,0),Q$10)/1000000,"-")</f>
        <v>-</v>
      </c>
      <c r="R20" s="1414"/>
      <c r="S20" s="71" t="str">
        <f>'BESS Capital Costs'!$D45</f>
        <v>Construction &amp; Materials</v>
      </c>
    </row>
    <row r="21" spans="1:19" ht="15" customHeight="1" x14ac:dyDescent="0.35">
      <c r="D21" s="2076" t="str">
        <f t="shared" si="0"/>
        <v>Sales Tax</v>
      </c>
      <c r="E21" s="2077"/>
      <c r="F21" s="2078"/>
      <c r="G21" s="2079" t="str" cm="1">
        <f t="array" ref="G21">IF(Control!$H$10=Control!$K$10,INDEX('BESS Capital Costs'!$K$42:$O$47,MATCH('Capital Costs - BESS'!$S21,'BESS Capital Costs'!$D$42:$D$47,0),G$10)/1000000,"-")</f>
        <v>-</v>
      </c>
      <c r="H21" s="2079" t="str" cm="1">
        <f t="array" ref="H21">IF(Control!$H$10=Control!$K$10,INDEX('BESS Capital Costs'!$K$42:$O$47,MATCH('Capital Costs - BESS'!$S21,'BESS Capital Costs'!$D$42:$D$47,0),H$10)/1000000,"-")</f>
        <v>-</v>
      </c>
      <c r="I21" s="2079" t="str" cm="1">
        <f t="array" ref="I21">IF(Control!$H$10=Control!$K$10,INDEX('BESS Capital Costs'!$K$42:$O$47,MATCH('Capital Costs - BESS'!$S21,'BESS Capital Costs'!$D$42:$D$47,0),I$10)/1000000,"-")</f>
        <v>-</v>
      </c>
      <c r="J21" s="2079" t="str" cm="1">
        <f t="array" ref="J21">IF(Control!$H$10=Control!$K$10,INDEX('BESS Capital Costs'!$K$42:$O$47,MATCH('Capital Costs - BESS'!$S21,'BESS Capital Costs'!$D$42:$D$47,0),J$10)/1000000,"-")</f>
        <v>-</v>
      </c>
      <c r="K21" s="2079" t="str" cm="1">
        <f t="array" ref="K21">IF(Control!$H$10=Control!$K$10,INDEX('BESS Capital Costs'!$K$42:$O$47,MATCH('Capital Costs - BESS'!$S21,'BESS Capital Costs'!$D$42:$D$47,0),K$10)/1000000,"-")</f>
        <v>-</v>
      </c>
      <c r="L21" s="2079"/>
      <c r="M21" s="2079" t="str" cm="1">
        <f t="array" ref="M21">IF(Control!$H$10=Control!$K$10,INDEX('BESS Capital Costs'!$R$42:$V$47,MATCH('Capital Costs - BESS'!$S21,'BESS Capital Costs'!$D$42:$D$47,0),M$10)/1000000,"-")</f>
        <v>-</v>
      </c>
      <c r="N21" s="2079" t="str" cm="1">
        <f t="array" ref="N21">IF(Control!$H$10=Control!$K$10,INDEX('BESS Capital Costs'!$R$42:$V$47,MATCH('Capital Costs - BESS'!$S21,'BESS Capital Costs'!$D$42:$D$47,0),N$10)/1000000,"-")</f>
        <v>-</v>
      </c>
      <c r="O21" s="2079" t="str" cm="1">
        <f t="array" ref="O21">IF(Control!$H$10=Control!$K$10,INDEX('BESS Capital Costs'!$R$42:$V$47,MATCH('Capital Costs - BESS'!$S21,'BESS Capital Costs'!$D$42:$D$47,0),O$10)/1000000,"-")</f>
        <v>-</v>
      </c>
      <c r="P21" s="2079" t="str" cm="1">
        <f t="array" ref="P21">IF(Control!$H$10=Control!$K$10,INDEX('BESS Capital Costs'!$R$42:$V$47,MATCH('Capital Costs - BESS'!$S21,'BESS Capital Costs'!$D$42:$D$47,0),P$10)/1000000,"-")</f>
        <v>-</v>
      </c>
      <c r="Q21" s="2079" t="str" cm="1">
        <f t="array" ref="Q21">IF(Control!$H$10=Control!$K$10,INDEX('BESS Capital Costs'!$R$42:$V$47,MATCH('Capital Costs - BESS'!$S21,'BESS Capital Costs'!$D$42:$D$47,0),Q$10)/1000000,"-")</f>
        <v>-</v>
      </c>
      <c r="S21" s="71" t="str">
        <f>'BESS Capital Costs'!$D46</f>
        <v>Sales Tax</v>
      </c>
    </row>
    <row r="22" spans="1:19" ht="6" customHeight="1" x14ac:dyDescent="0.35">
      <c r="D22" s="1442"/>
      <c r="E22" s="1494"/>
      <c r="F22" s="1495"/>
      <c r="G22" s="1436"/>
      <c r="H22" s="1436"/>
      <c r="I22" s="1436"/>
      <c r="J22" s="1436"/>
      <c r="K22" s="1436"/>
      <c r="L22" s="1436"/>
      <c r="M22" s="1436"/>
      <c r="N22" s="1436"/>
      <c r="O22" s="1436"/>
      <c r="P22" s="1436"/>
      <c r="Q22" s="1436"/>
    </row>
    <row r="23" spans="1:19" ht="15" customHeight="1" x14ac:dyDescent="0.35">
      <c r="D23" s="1654" t="s">
        <v>107</v>
      </c>
      <c r="E23" s="1020"/>
      <c r="F23" s="971"/>
      <c r="G23" s="970" t="str">
        <f>IF(Control!$H$10=Control!$K$10,SUM(G24:G29),"-")</f>
        <v>-</v>
      </c>
      <c r="H23" s="970" t="str">
        <f>IF(Control!$H$10=Control!$K$10,SUM(H24:H29),"-")</f>
        <v>-</v>
      </c>
      <c r="I23" s="970" t="str">
        <f>IF(Control!$H$10=Control!$K$10,SUM(I24:I29),"-")</f>
        <v>-</v>
      </c>
      <c r="J23" s="970" t="str">
        <f>IF(Control!$H$10=Control!$K$10,SUM(J24:J29),"-")</f>
        <v>-</v>
      </c>
      <c r="K23" s="970" t="str">
        <f>IF(Control!$H$10=Control!$K$10,SUM(K24:K29),"-")</f>
        <v>-</v>
      </c>
      <c r="L23" s="946"/>
      <c r="M23" s="970" t="str">
        <f>IF(Control!$H$10=Control!$K$10,SUM(M24:M29),"-")</f>
        <v>-</v>
      </c>
      <c r="N23" s="970" t="str">
        <f>IF(Control!$H$10=Control!$K$10,SUM(N24:N29),"-")</f>
        <v>-</v>
      </c>
      <c r="O23" s="970" t="str">
        <f>IF(Control!$H$10=Control!$K$10,SUM(O24:O29),"-")</f>
        <v>-</v>
      </c>
      <c r="P23" s="970" t="str">
        <f>IF(Control!$H$10=Control!$K$10,SUM(P24:P29),"-")</f>
        <v>-</v>
      </c>
      <c r="Q23" s="970" t="str">
        <f>IF(Control!$H$10=Control!$K$10,SUM(Q24:Q29),"-")</f>
        <v>-</v>
      </c>
    </row>
    <row r="24" spans="1:19" ht="15" customHeight="1" x14ac:dyDescent="0.35">
      <c r="D24" s="1883" t="str">
        <f t="shared" ref="D24:D29" si="1">S24</f>
        <v>Project Development</v>
      </c>
      <c r="E24" s="1904"/>
      <c r="F24" s="1905"/>
      <c r="G24" s="1906" t="str" cm="1">
        <f t="array" ref="G24">IF(Control!$H$10=Control!$K$10,INDEX('BESS Capital Costs'!$K$51:$O$61, MATCH('Capital Costs - BESS'!$S24, 'BESS Capital Costs'!$D$51:$D$61, 0),G$10)/1000000,"-")</f>
        <v>-</v>
      </c>
      <c r="H24" s="1906" t="str" cm="1">
        <f t="array" ref="H24">IF(Control!$H$10=Control!$K$10,INDEX('BESS Capital Costs'!$K$51:$O$61, MATCH('Capital Costs - BESS'!$S24, 'BESS Capital Costs'!$D$51:$D$61, 0),H$10)/1000000,"-")</f>
        <v>-</v>
      </c>
      <c r="I24" s="1906" t="str" cm="1">
        <f t="array" ref="I24">IF(Control!$H$10=Control!$K$10,INDEX('BESS Capital Costs'!$K$51:$O$61, MATCH('Capital Costs - BESS'!$S24, 'BESS Capital Costs'!$D$51:$D$61, 0),I$10)/1000000,"-")</f>
        <v>-</v>
      </c>
      <c r="J24" s="1906" t="str" cm="1">
        <f t="array" ref="J24">IF(Control!$H$10=Control!$K$10,INDEX('BESS Capital Costs'!$K$51:$O$61, MATCH('Capital Costs - BESS'!$S24, 'BESS Capital Costs'!$D$51:$D$61, 0),J$10)/1000000,"-")</f>
        <v>-</v>
      </c>
      <c r="K24" s="1906" t="str" cm="1">
        <f t="array" ref="K24">IF(Control!$H$10=Control!$K$10,INDEX('BESS Capital Costs'!$K$51:$O$61, MATCH('Capital Costs - BESS'!$S24, 'BESS Capital Costs'!$D$51:$D$61, 0),K$10)/1000000,"-")</f>
        <v>-</v>
      </c>
      <c r="L24" s="1291"/>
      <c r="M24" s="1291" t="str" cm="1">
        <f t="array" ref="M24">IF(Control!$H$10=Control!$K$10,INDEX('BESS Capital Costs'!$R$51:$V$61, MATCH('Capital Costs - BESS'!$S24, 'BESS Capital Costs'!$D$51:$D$61, 0),M$10)/1000000,"-")</f>
        <v>-</v>
      </c>
      <c r="N24" s="1291" t="str" cm="1">
        <f t="array" ref="N24">IF(Control!$H$10=Control!$K$10,INDEX('BESS Capital Costs'!$R$51:$V$61, MATCH('Capital Costs - BESS'!$S24, 'BESS Capital Costs'!$D$51:$D$61, 0),N$10)/1000000,"-")</f>
        <v>-</v>
      </c>
      <c r="O24" s="1291" t="str" cm="1">
        <f t="array" ref="O24">IF(Control!$H$10=Control!$K$10,INDEX('BESS Capital Costs'!$R$51:$V$61, MATCH('Capital Costs - BESS'!$S24, 'BESS Capital Costs'!$D$51:$D$61, 0),O$10)/1000000,"-")</f>
        <v>-</v>
      </c>
      <c r="P24" s="1291" t="str" cm="1">
        <f t="array" ref="P24">IF(Control!$H$10=Control!$K$10,INDEX('BESS Capital Costs'!$R$51:$V$61, MATCH('Capital Costs - BESS'!$S24, 'BESS Capital Costs'!$D$51:$D$61, 0),P$10)/1000000,"-")</f>
        <v>-</v>
      </c>
      <c r="Q24" s="1291" t="str" cm="1">
        <f t="array" ref="Q24">IF(Control!$H$10=Control!$K$10,INDEX('BESS Capital Costs'!$R$51:$V$61, MATCH('Capital Costs - BESS'!$S24, 'BESS Capital Costs'!$D$51:$D$61, 0),Q$10)/1000000,"-")</f>
        <v>-</v>
      </c>
      <c r="S24" s="71" t="str">
        <f>'BESS Capital Costs'!$D51</f>
        <v>Project Development</v>
      </c>
    </row>
    <row r="25" spans="1:19" ht="15" customHeight="1" x14ac:dyDescent="0.35">
      <c r="D25" s="1596" t="str">
        <f t="shared" si="1"/>
        <v>Mobilization and Start-Up</v>
      </c>
      <c r="E25" s="1902"/>
      <c r="F25" s="1907"/>
      <c r="G25" s="1592" t="str" cm="1">
        <f t="array" ref="G25">IF(Control!$H$10=Control!$K$10,INDEX('BESS Capital Costs'!$K$51:$O$61, MATCH('Capital Costs - BESS'!$S25, 'BESS Capital Costs'!$D$51:$D$61, 0),G$10)/1000000,"-")</f>
        <v>-</v>
      </c>
      <c r="H25" s="1592" t="str" cm="1">
        <f t="array" ref="H25">IF(Control!$H$10=Control!$K$10,INDEX('BESS Capital Costs'!$K$51:$O$61, MATCH('Capital Costs - BESS'!$S25, 'BESS Capital Costs'!$D$51:$D$61, 0),H$10)/1000000,"-")</f>
        <v>-</v>
      </c>
      <c r="I25" s="1592" t="str" cm="1">
        <f t="array" ref="I25">IF(Control!$H$10=Control!$K$10,INDEX('BESS Capital Costs'!$K$51:$O$61, MATCH('Capital Costs - BESS'!$S25, 'BESS Capital Costs'!$D$51:$D$61, 0),I$10)/1000000,"-")</f>
        <v>-</v>
      </c>
      <c r="J25" s="1592" t="str" cm="1">
        <f t="array" ref="J25">IF(Control!$H$10=Control!$K$10,INDEX('BESS Capital Costs'!$K$51:$O$61, MATCH('Capital Costs - BESS'!$S25, 'BESS Capital Costs'!$D$51:$D$61, 0),J$10)/1000000,"-")</f>
        <v>-</v>
      </c>
      <c r="K25" s="1592" t="str" cm="1">
        <f t="array" ref="K25">IF(Control!$H$10=Control!$K$10,INDEX('BESS Capital Costs'!$K$51:$O$61, MATCH('Capital Costs - BESS'!$S25, 'BESS Capital Costs'!$D$51:$D$61, 0),K$10)/1000000,"-")</f>
        <v>-</v>
      </c>
      <c r="L25" s="1592"/>
      <c r="M25" s="1592" t="str" cm="1">
        <f t="array" ref="M25">IF(Control!$H$10=Control!$K$10,INDEX('BESS Capital Costs'!$R$51:$V$61, MATCH('Capital Costs - BESS'!$S25, 'BESS Capital Costs'!$D$51:$D$61, 0),M$10)/1000000,"-")</f>
        <v>-</v>
      </c>
      <c r="N25" s="1592" t="str" cm="1">
        <f t="array" ref="N25">IF(Control!$H$10=Control!$K$10,INDEX('BESS Capital Costs'!$R$51:$V$61, MATCH('Capital Costs - BESS'!$S25, 'BESS Capital Costs'!$D$51:$D$61, 0),N$10)/1000000,"-")</f>
        <v>-</v>
      </c>
      <c r="O25" s="1592" t="str" cm="1">
        <f t="array" ref="O25">IF(Control!$H$10=Control!$K$10,INDEX('BESS Capital Costs'!$R$51:$V$61, MATCH('Capital Costs - BESS'!$S25, 'BESS Capital Costs'!$D$51:$D$61, 0),O$10)/1000000,"-")</f>
        <v>-</v>
      </c>
      <c r="P25" s="1592" t="str" cm="1">
        <f t="array" ref="P25">IF(Control!$H$10=Control!$K$10,INDEX('BESS Capital Costs'!$R$51:$V$61, MATCH('Capital Costs - BESS'!$S25, 'BESS Capital Costs'!$D$51:$D$61, 0),P$10)/1000000,"-")</f>
        <v>-</v>
      </c>
      <c r="Q25" s="1592" t="str" cm="1">
        <f t="array" ref="Q25">IF(Control!$H$10=Control!$K$10,INDEX('BESS Capital Costs'!$R$51:$V$61, MATCH('Capital Costs - BESS'!$S25, 'BESS Capital Costs'!$D$51:$D$61, 0),Q$10)/1000000,"-")</f>
        <v>-</v>
      </c>
      <c r="S25" s="71" t="str">
        <f>'BESS Capital Costs'!$D52</f>
        <v>Mobilization and Start-Up</v>
      </c>
    </row>
    <row r="26" spans="1:19" ht="15" customHeight="1" x14ac:dyDescent="0.35">
      <c r="D26" s="1883" t="str">
        <f t="shared" si="1"/>
        <v>Owner's Contingency</v>
      </c>
      <c r="E26" s="1908" t="str">
        <f>_xlfn.XLOOKUP($S26,'BESS Capital Costs'!$D$42:$D$56,'BESS Capital Costs'!$H$42:$H$56)</f>
        <v/>
      </c>
      <c r="F26" s="1905"/>
      <c r="G26" s="1906" t="str" cm="1">
        <f t="array" ref="G26">IF(Control!$H$10=Control!$K$10,INDEX('BESS Capital Costs'!$K$51:$O$61, MATCH('Capital Costs - BESS'!$S26, 'BESS Capital Costs'!$D$51:$D$61, 0),G$10)/1000000,"-")</f>
        <v>-</v>
      </c>
      <c r="H26" s="1906" t="str" cm="1">
        <f t="array" ref="H26">IF(Control!$H$10=Control!$K$10,INDEX('BESS Capital Costs'!$K$51:$O$61, MATCH('Capital Costs - BESS'!$S26, 'BESS Capital Costs'!$D$51:$D$61, 0),H$10)/1000000,"-")</f>
        <v>-</v>
      </c>
      <c r="I26" s="1906" t="str" cm="1">
        <f t="array" ref="I26">IF(Control!$H$10=Control!$K$10,INDEX('BESS Capital Costs'!$K$51:$O$61, MATCH('Capital Costs - BESS'!$S26, 'BESS Capital Costs'!$D$51:$D$61, 0),I$10)/1000000,"-")</f>
        <v>-</v>
      </c>
      <c r="J26" s="1906" t="str" cm="1">
        <f t="array" ref="J26">IF(Control!$H$10=Control!$K$10,INDEX('BESS Capital Costs'!$K$51:$O$61, MATCH('Capital Costs - BESS'!$S26, 'BESS Capital Costs'!$D$51:$D$61, 0),J$10)/1000000,"-")</f>
        <v>-</v>
      </c>
      <c r="K26" s="1906" t="str" cm="1">
        <f t="array" ref="K26">IF(Control!$H$10=Control!$K$10,INDEX('BESS Capital Costs'!$K$51:$O$61, MATCH('Capital Costs - BESS'!$S26, 'BESS Capital Costs'!$D$51:$D$61, 0),K$10)/1000000,"-")</f>
        <v>-</v>
      </c>
      <c r="L26" s="1291"/>
      <c r="M26" s="1906" t="str" cm="1">
        <f t="array" ref="M26">IF(Control!$H$10=Control!$K$10,INDEX('BESS Capital Costs'!$R$51:$V$61, MATCH('Capital Costs - BESS'!$S26, 'BESS Capital Costs'!$D$51:$D$61, 0),M$10)/1000000,"-")</f>
        <v>-</v>
      </c>
      <c r="N26" s="1291" t="str" cm="1">
        <f t="array" ref="N26">IF(Control!$H$10=Control!$K$10,INDEX('BESS Capital Costs'!$R$51:$V$61, MATCH('Capital Costs - BESS'!$S26, 'BESS Capital Costs'!$D$51:$D$61, 0),N$10)/1000000,"-")</f>
        <v>-</v>
      </c>
      <c r="O26" s="1291" t="str" cm="1">
        <f t="array" ref="O26">IF(Control!$H$10=Control!$K$10,INDEX('BESS Capital Costs'!$R$51:$V$61, MATCH('Capital Costs - BESS'!$S26, 'BESS Capital Costs'!$D$51:$D$61, 0),O$10)/1000000,"-")</f>
        <v>-</v>
      </c>
      <c r="P26" s="1291" t="str" cm="1">
        <f t="array" ref="P26">IF(Control!$H$10=Control!$K$10,INDEX('BESS Capital Costs'!$R$51:$V$61, MATCH('Capital Costs - BESS'!$S26, 'BESS Capital Costs'!$D$51:$D$61, 0),P$10)/1000000,"-")</f>
        <v>-</v>
      </c>
      <c r="Q26" s="1291" t="str" cm="1">
        <f t="array" ref="Q26">IF(Control!$H$10=Control!$K$10,INDEX('BESS Capital Costs'!$R$51:$V$61, MATCH('Capital Costs - BESS'!$S26, 'BESS Capital Costs'!$D$51:$D$61, 0),Q$10)/1000000,"-")</f>
        <v>-</v>
      </c>
      <c r="S26" s="71" t="str">
        <f>'BESS Capital Costs'!$D53</f>
        <v>Owner's Contingency</v>
      </c>
    </row>
    <row r="27" spans="1:19" ht="15" customHeight="1" x14ac:dyDescent="0.35">
      <c r="D27" s="1596" t="str">
        <f t="shared" si="1"/>
        <v>Land</v>
      </c>
      <c r="E27" s="1902">
        <f>_xlfn.XLOOKUP($S27,'BESS Capital Costs'!$D$42:$D$56,'BESS Capital Costs'!$H$42:$H$56)</f>
        <v>6.788357632263553E-2</v>
      </c>
      <c r="F27" s="1907"/>
      <c r="G27" s="1592" t="str" cm="1">
        <f t="array" ref="G27">IF(Control!$H$10=Control!$K$10,INDEX('BESS Capital Costs'!$K$51:$O$61, MATCH('Capital Costs - BESS'!$S27, 'BESS Capital Costs'!$D$51:$D$61, 0),G$10)/1000000,"-")</f>
        <v>-</v>
      </c>
      <c r="H27" s="1592" t="str" cm="1">
        <f t="array" ref="H27">IF(Control!$H$10=Control!$K$10,INDEX('BESS Capital Costs'!$K$51:$O$61, MATCH('Capital Costs - BESS'!$S27, 'BESS Capital Costs'!$D$51:$D$61, 0),H$10)/1000000,"-")</f>
        <v>-</v>
      </c>
      <c r="I27" s="1592" t="str" cm="1">
        <f t="array" ref="I27">IF(Control!$H$10=Control!$K$10,INDEX('BESS Capital Costs'!$K$51:$O$61, MATCH('Capital Costs - BESS'!$S27, 'BESS Capital Costs'!$D$51:$D$61, 0),I$10)/1000000,"-")</f>
        <v>-</v>
      </c>
      <c r="J27" s="1592" t="str" cm="1">
        <f t="array" ref="J27">IF(Control!$H$10=Control!$K$10,INDEX('BESS Capital Costs'!$K$51:$O$61, MATCH('Capital Costs - BESS'!$S27, 'BESS Capital Costs'!$D$51:$D$61, 0),J$10)/1000000,"-")</f>
        <v>-</v>
      </c>
      <c r="K27" s="1592" t="str" cm="1">
        <f t="array" ref="K27">IF(Control!$H$10=Control!$K$10,INDEX('BESS Capital Costs'!$K$51:$O$61, MATCH('Capital Costs - BESS'!$S27, 'BESS Capital Costs'!$D$51:$D$61, 0),K$10)/1000000,"-")</f>
        <v>-</v>
      </c>
      <c r="L27" s="1592"/>
      <c r="M27" s="1592" t="str" cm="1">
        <f t="array" ref="M27">IF(Control!$H$10=Control!$K$10,INDEX('BESS Capital Costs'!$R$51:$V$61, MATCH('Capital Costs - BESS'!$S27, 'BESS Capital Costs'!$D$51:$D$61, 0),M$10)/1000000,"-")</f>
        <v>-</v>
      </c>
      <c r="N27" s="1592" t="str" cm="1">
        <f t="array" ref="N27">IF(Control!$H$10=Control!$K$10,INDEX('BESS Capital Costs'!$R$51:$V$61, MATCH('Capital Costs - BESS'!$S27, 'BESS Capital Costs'!$D$51:$D$61, 0),N$10)/1000000,"-")</f>
        <v>-</v>
      </c>
      <c r="O27" s="1592" t="str" cm="1">
        <f t="array" ref="O27">IF(Control!$H$10=Control!$K$10,INDEX('BESS Capital Costs'!$R$51:$V$61, MATCH('Capital Costs - BESS'!$S27, 'BESS Capital Costs'!$D$51:$D$61, 0),O$10)/1000000,"-")</f>
        <v>-</v>
      </c>
      <c r="P27" s="1592" t="str" cm="1">
        <f t="array" ref="P27">IF(Control!$H$10=Control!$K$10,INDEX('BESS Capital Costs'!$R$51:$V$61, MATCH('Capital Costs - BESS'!$S27, 'BESS Capital Costs'!$D$51:$D$61, 0),P$10)/1000000,"-")</f>
        <v>-</v>
      </c>
      <c r="Q27" s="1592" t="str" cm="1">
        <f t="array" ref="Q27">IF(Control!$H$10=Control!$K$10,INDEX('BESS Capital Costs'!$R$51:$V$61, MATCH('Capital Costs - BESS'!$S27, 'BESS Capital Costs'!$D$51:$D$61, 0),Q$10)/1000000,"-")</f>
        <v>-</v>
      </c>
      <c r="S27" s="71" t="str">
        <f>'BESS Capital Costs'!$D54</f>
        <v>Land</v>
      </c>
    </row>
    <row r="28" spans="1:19" ht="15" customHeight="1" x14ac:dyDescent="0.35">
      <c r="D28" s="1883" t="str">
        <f t="shared" si="1"/>
        <v>Electrical Interconnection</v>
      </c>
      <c r="E28" s="1904">
        <f>_xlfn.XLOOKUP($S28,'BESS Capital Costs'!$D$42:$D$56,'BESS Capital Costs'!$H$42:$H$56)</f>
        <v>6.788357632263553E-2</v>
      </c>
      <c r="F28" s="1909"/>
      <c r="G28" s="1906" t="str" cm="1">
        <f t="array" ref="G28">IF(Control!$H$10=Control!$K$10,INDEX('BESS Capital Costs'!$K$51:$O$61, MATCH('Capital Costs - BESS'!$S28, 'BESS Capital Costs'!$D$51:$D$61, 0),G$10)/1000000,"-")</f>
        <v>-</v>
      </c>
      <c r="H28" s="1906" t="str" cm="1">
        <f t="array" ref="H28">IF(Control!$H$10=Control!$K$10,INDEX('BESS Capital Costs'!$K$51:$O$61, MATCH('Capital Costs - BESS'!$S28, 'BESS Capital Costs'!$D$51:$D$61, 0),H$10)/1000000,"-")</f>
        <v>-</v>
      </c>
      <c r="I28" s="1906" t="str" cm="1">
        <f t="array" ref="I28">IF(Control!$H$10=Control!$K$10,INDEX('BESS Capital Costs'!$K$51:$O$61, MATCH('Capital Costs - BESS'!$S28, 'BESS Capital Costs'!$D$51:$D$61, 0),I$10)/1000000,"-")</f>
        <v>-</v>
      </c>
      <c r="J28" s="1906" t="str" cm="1">
        <f t="array" ref="J28">IF(Control!$H$10=Control!$K$10,INDEX('BESS Capital Costs'!$K$51:$O$61, MATCH('Capital Costs - BESS'!$S28, 'BESS Capital Costs'!$D$51:$D$61, 0),J$10)/1000000,"-")</f>
        <v>-</v>
      </c>
      <c r="K28" s="1906" t="str" cm="1">
        <f t="array" ref="K28">IF(Control!$H$10=Control!$K$10,INDEX('BESS Capital Costs'!$K$51:$O$61, MATCH('Capital Costs - BESS'!$S28, 'BESS Capital Costs'!$D$51:$D$61, 0),K$10)/1000000,"-")</f>
        <v>-</v>
      </c>
      <c r="L28" s="1291"/>
      <c r="M28" s="1291" t="str" cm="1">
        <f t="array" ref="M28">IF(Control!$H$10=Control!$K$10,INDEX('BESS Capital Costs'!$R$51:$V$61, MATCH('Capital Costs - BESS'!$S28, 'BESS Capital Costs'!$D$51:$D$61, 0),M$10)/1000000,"-")</f>
        <v>-</v>
      </c>
      <c r="N28" s="1291" t="str" cm="1">
        <f t="array" ref="N28">IF(Control!$H$10=Control!$K$10,INDEX('BESS Capital Costs'!$R$51:$V$61, MATCH('Capital Costs - BESS'!$S28, 'BESS Capital Costs'!$D$51:$D$61, 0),N$10)/1000000,"-")</f>
        <v>-</v>
      </c>
      <c r="O28" s="1291" t="str" cm="1">
        <f t="array" ref="O28">IF(Control!$H$10=Control!$K$10,INDEX('BESS Capital Costs'!$R$51:$V$61, MATCH('Capital Costs - BESS'!$S28, 'BESS Capital Costs'!$D$51:$D$61, 0),O$10)/1000000,"-")</f>
        <v>-</v>
      </c>
      <c r="P28" s="1291" t="str" cm="1">
        <f t="array" ref="P28">IF(Control!$H$10=Control!$K$10,INDEX('BESS Capital Costs'!$R$51:$V$61, MATCH('Capital Costs - BESS'!$S28, 'BESS Capital Costs'!$D$51:$D$61, 0),P$10)/1000000,"-")</f>
        <v>-</v>
      </c>
      <c r="Q28" s="1291" t="str" cm="1">
        <f t="array" ref="Q28">IF(Control!$H$10=Control!$K$10,INDEX('BESS Capital Costs'!$R$51:$V$61, MATCH('Capital Costs - BESS'!$S28, 'BESS Capital Costs'!$D$51:$D$61, 0),Q$10)/1000000,"-")</f>
        <v>-</v>
      </c>
      <c r="R28" s="1414"/>
      <c r="S28" s="71" t="str">
        <f>'BESS Capital Costs'!$D55</f>
        <v>Electrical Interconnection</v>
      </c>
    </row>
    <row r="29" spans="1:19" ht="15" customHeight="1" x14ac:dyDescent="0.35">
      <c r="D29" s="1596" t="str">
        <f t="shared" si="1"/>
        <v>Financing Fees</v>
      </c>
      <c r="E29" s="1902"/>
      <c r="F29" s="1907"/>
      <c r="G29" s="1910" t="str" cm="1">
        <f t="array" ref="G29">IF(Control!$H$10=Control!$K$10,INDEX('BESS Capital Costs'!$K$51:$O$56, MATCH('Capital Costs - BESS'!$S29, 'BESS Capital Costs'!$D$51:$D$61, 0),G$10)/1000000,"-")</f>
        <v>-</v>
      </c>
      <c r="H29" s="1910" t="str" cm="1">
        <f t="array" ref="H29">IF(Control!$H$10=Control!$K$10,INDEX('BESS Capital Costs'!$K$51:$O$56, MATCH('Capital Costs - BESS'!$S29, 'BESS Capital Costs'!$D$51:$D$61, 0),H$10)/1000000,"-")</f>
        <v>-</v>
      </c>
      <c r="I29" s="1910" t="str" cm="1">
        <f t="array" ref="I29">IF(Control!$H$10=Control!$K$10,INDEX('BESS Capital Costs'!$K$51:$O$56, MATCH('Capital Costs - BESS'!$S29, 'BESS Capital Costs'!$D$51:$D$61, 0),I$10)/1000000,"-")</f>
        <v>-</v>
      </c>
      <c r="J29" s="1910" t="str" cm="1">
        <f t="array" ref="J29">IF(Control!$H$10=Control!$K$10,INDEX('BESS Capital Costs'!$K$51:$O$56, MATCH('Capital Costs - BESS'!$S29, 'BESS Capital Costs'!$D$51:$D$61, 0),J$10)/1000000,"-")</f>
        <v>-</v>
      </c>
      <c r="K29" s="1910" t="str" cm="1">
        <f t="array" ref="K29">IF(Control!$H$10=Control!$K$10,INDEX('BESS Capital Costs'!$K$51:$O$56, MATCH('Capital Costs - BESS'!$S29, 'BESS Capital Costs'!$D$51:$D$61, 0),K$10)/1000000,"-")</f>
        <v>-</v>
      </c>
      <c r="L29" s="1592"/>
      <c r="M29" s="1592" t="str" cm="1">
        <f t="array" ref="M29">IF(Control!$H$10=Control!$K$10,INDEX('BESS Capital Costs'!$R$51:$V$56, MATCH('Capital Costs - BESS'!$S29, 'BESS Capital Costs'!$D$51:$D$61, 0),M$10)/1000000,"-")</f>
        <v>-</v>
      </c>
      <c r="N29" s="1592" t="str" cm="1">
        <f t="array" ref="N29">IF(Control!$H$10=Control!$K$10,INDEX('BESS Capital Costs'!$R$51:$V$56, MATCH('Capital Costs - BESS'!$S29, 'BESS Capital Costs'!$D$51:$D$61, 0),N$10)/1000000,"-")</f>
        <v>-</v>
      </c>
      <c r="O29" s="1592" t="str" cm="1">
        <f t="array" ref="O29">IF(Control!$H$10=Control!$K$10,INDEX('BESS Capital Costs'!$R$51:$V$56, MATCH('Capital Costs - BESS'!$S29, 'BESS Capital Costs'!$D$51:$D$61, 0),O$10)/1000000,"-")</f>
        <v>-</v>
      </c>
      <c r="P29" s="1592" t="str" cm="1">
        <f t="array" ref="P29">IF(Control!$H$10=Control!$K$10,INDEX('BESS Capital Costs'!$R$51:$V$56, MATCH('Capital Costs - BESS'!$S29, 'BESS Capital Costs'!$D$51:$D$61, 0),P$10)/1000000,"-")</f>
        <v>-</v>
      </c>
      <c r="Q29" s="1592" t="str" cm="1">
        <f t="array" ref="Q29">IF(Control!$H$10=Control!$K$10,INDEX('BESS Capital Costs'!$R$51:$V$56, MATCH('Capital Costs - BESS'!$S29, 'BESS Capital Costs'!$D$51:$D$61, 0),Q$10)/1000000,"-")</f>
        <v>-</v>
      </c>
      <c r="S29" s="71" t="str">
        <f>'BESS Capital Costs'!$D56</f>
        <v>Financing Fees</v>
      </c>
    </row>
    <row r="30" spans="1:19" s="1417" customFormat="1" ht="6" customHeight="1" x14ac:dyDescent="0.35">
      <c r="A30" s="110"/>
      <c r="B30" s="110"/>
      <c r="C30" s="110"/>
      <c r="D30" s="384"/>
      <c r="E30" s="1479"/>
      <c r="F30" s="1495"/>
      <c r="G30" s="1436"/>
      <c r="H30" s="1436"/>
      <c r="I30" s="1436"/>
      <c r="J30" s="1436"/>
      <c r="K30" s="1436"/>
      <c r="L30" s="1436"/>
      <c r="M30" s="1436"/>
      <c r="N30" s="1436"/>
      <c r="O30" s="1436"/>
      <c r="P30" s="1436"/>
      <c r="Q30" s="1436"/>
      <c r="S30" s="72"/>
    </row>
    <row r="31" spans="1:19" s="1417" customFormat="1" ht="15" customHeight="1" x14ac:dyDescent="0.35">
      <c r="A31" s="110"/>
      <c r="B31" s="110"/>
      <c r="C31" s="110"/>
      <c r="D31" s="1654" t="s">
        <v>557</v>
      </c>
      <c r="E31" s="960"/>
      <c r="F31" s="971"/>
      <c r="G31" s="970" t="str">
        <f>IFERROR(G$15+G$23,"-")</f>
        <v>-</v>
      </c>
      <c r="H31" s="970" t="str">
        <f>IFERROR(H$15+H$23,"-")</f>
        <v>-</v>
      </c>
      <c r="I31" s="970" t="str">
        <f>IFERROR(I$15+I$23,"-")</f>
        <v>-</v>
      </c>
      <c r="J31" s="970" t="str">
        <f>IFERROR(J$15+J$23,"-")</f>
        <v>-</v>
      </c>
      <c r="K31" s="970" t="str">
        <f>IFERROR(K$15+K$23,"-")</f>
        <v>-</v>
      </c>
      <c r="L31" s="946"/>
      <c r="M31" s="970" t="str">
        <f>IFERROR(M$15+M$23,"-")</f>
        <v>-</v>
      </c>
      <c r="N31" s="970" t="str">
        <f>IFERROR(N$15+N$23,"-")</f>
        <v>-</v>
      </c>
      <c r="O31" s="970" t="str">
        <f>IFERROR(O$15+O$23,"-")</f>
        <v>-</v>
      </c>
      <c r="P31" s="970" t="str">
        <f>IFERROR(P$15+P$23,"-")</f>
        <v>-</v>
      </c>
      <c r="Q31" s="970" t="str">
        <f>IFERROR(Q$15+Q$23,"-")</f>
        <v>-</v>
      </c>
      <c r="S31" s="72"/>
    </row>
    <row r="32" spans="1:19" s="1417" customFormat="1" ht="6" customHeight="1" x14ac:dyDescent="0.35">
      <c r="A32" s="110"/>
      <c r="B32" s="110"/>
      <c r="C32" s="110"/>
      <c r="D32" s="1873"/>
      <c r="E32" s="1874"/>
      <c r="F32" s="1911"/>
      <c r="G32" s="1876"/>
      <c r="H32" s="1876"/>
      <c r="I32" s="1876"/>
      <c r="J32" s="1876"/>
      <c r="K32" s="1876"/>
      <c r="L32" s="1912"/>
      <c r="M32" s="1876"/>
      <c r="N32" s="1876"/>
      <c r="O32" s="1876"/>
      <c r="P32" s="1876"/>
      <c r="Q32" s="1876"/>
      <c r="S32" s="72"/>
    </row>
    <row r="33" spans="1:19" s="1417" customFormat="1" ht="6" customHeight="1" x14ac:dyDescent="0.35">
      <c r="A33" s="110"/>
      <c r="B33" s="110"/>
      <c r="C33" s="110"/>
      <c r="D33" s="1878"/>
      <c r="E33" s="1879"/>
      <c r="F33" s="1913"/>
      <c r="G33" s="1881"/>
      <c r="H33" s="1881"/>
      <c r="I33" s="1881"/>
      <c r="J33" s="1881"/>
      <c r="K33" s="1881"/>
      <c r="L33" s="1914"/>
      <c r="M33" s="1881"/>
      <c r="N33" s="1881"/>
      <c r="O33" s="1881"/>
      <c r="P33" s="1881"/>
      <c r="Q33" s="1881"/>
      <c r="S33" s="72"/>
    </row>
    <row r="34" spans="1:19" ht="15" customHeight="1" x14ac:dyDescent="0.35">
      <c r="D34" s="1957" t="s">
        <v>616</v>
      </c>
      <c r="E34" s="1984"/>
      <c r="F34" s="1996"/>
      <c r="G34" s="1998" t="str">
        <f>IF(Control!$H$10=Control!$K$10,(G$31*1000000)/(G$12*1000),"-")</f>
        <v>-</v>
      </c>
      <c r="H34" s="1998" t="str">
        <f>IF(Control!$H$10=Control!$K$10,(H$31*1000000)/(H$12*1000),"-")</f>
        <v>-</v>
      </c>
      <c r="I34" s="1998" t="str">
        <f>IF(Control!$H$10=Control!$K$10,(I$31*1000000)/(I$12*1000),"-")</f>
        <v>-</v>
      </c>
      <c r="J34" s="1998" t="str">
        <f>IF(Control!$H$10=Control!$K$10,(J$31*1000000)/(J$12*1000),"-")</f>
        <v>-</v>
      </c>
      <c r="K34" s="1998" t="str">
        <f>IF(Control!$H$10=Control!$K$10,(K$31*1000000)/(K$12*1000),"-")</f>
        <v>-</v>
      </c>
      <c r="L34" s="1996"/>
      <c r="M34" s="1998" t="str">
        <f>IF(Control!$H$10=Control!$K$10,(M$31*1000000)/(M$12*1000),"-")</f>
        <v>-</v>
      </c>
      <c r="N34" s="1998" t="str">
        <f>IF(Control!$H$10=Control!$K$10,(N$31*1000000)/(N$12*1000),"-")</f>
        <v>-</v>
      </c>
      <c r="O34" s="1998" t="str">
        <f>IF(Control!$H$10=Control!$K$10,(O$31*1000000)/(O$12*1000),"-")</f>
        <v>-</v>
      </c>
      <c r="P34" s="1998" t="str">
        <f>IF(Control!$H$10=Control!$K$10,(P$31*1000000)/(P$12*1000),"-")</f>
        <v>-</v>
      </c>
      <c r="Q34" s="1998" t="str">
        <f>IF(Control!$H$10=Control!$K$10,(Q$31*1000000)/(Q$12*1000),"-")</f>
        <v>-</v>
      </c>
    </row>
    <row r="35" spans="1:19" ht="15" customHeight="1" outlineLevel="1" x14ac:dyDescent="0.35">
      <c r="D35" s="1957" t="s">
        <v>615</v>
      </c>
      <c r="E35" s="1983"/>
      <c r="F35" s="1984"/>
      <c r="G35" s="1985" t="str">
        <f>IF(Control!$H$10=Control!$K$10,"n/a","-")</f>
        <v>-</v>
      </c>
      <c r="H35" s="1985" t="str">
        <f>IF(Control!$H$10=Control!$K$10,"n/a","-")</f>
        <v>-</v>
      </c>
      <c r="I35" s="1985" t="str">
        <f>IF(Control!$H$10=Control!$K$10,"n/a","-")</f>
        <v>-</v>
      </c>
      <c r="J35" s="1985" t="str">
        <f>IF(Control!$H$10=Control!$K$10,"n/a","-")</f>
        <v>-</v>
      </c>
      <c r="K35" s="1985" t="str">
        <f>IF(Control!$H$10=Control!$K$10,"n/a","-")</f>
        <v>-</v>
      </c>
      <c r="L35" s="1997"/>
      <c r="M35" s="1985" t="str">
        <f>IF(Control!$H$10=Control!$K$10,_xlfn.XLOOKUP(M$11,Control!$I$79:$M$79,Control!$I$85:$M$85)*10^6/('BESS Capital Costs'!R$35*10^3),"-")</f>
        <v>-</v>
      </c>
      <c r="N35" s="1985" t="str">
        <f>IF(Control!$H$10=Control!$K$10,_xlfn.XLOOKUP(N$11,Control!$I$79:$M$79,Control!$I$85:$M$85)*10^6/('BESS Capital Costs'!S$35*10^3),"-")</f>
        <v>-</v>
      </c>
      <c r="O35" s="1985" t="str">
        <f>IF(Control!$H$10=Control!$K$10,_xlfn.XLOOKUP(O$11,Control!$I$79:$M$79,Control!$I$85:$M$85)*10^6/('BESS Capital Costs'!T$35*10^3),"-")</f>
        <v>-</v>
      </c>
      <c r="P35" s="1985" t="str">
        <f>IF(Control!$H$10=Control!$K$10,_xlfn.XLOOKUP(P$11,Control!$I$79:$M$79,Control!$I$85:$M$85)*10^6/('BESS Capital Costs'!U$35*10^3),"-")</f>
        <v>-</v>
      </c>
      <c r="Q35" s="1985" t="str">
        <f>IF(Control!$H$10=Control!$K$10,_xlfn.XLOOKUP(Q$11,Control!$I$79:$M$79,Control!$I$85:$M$85)*10^6/('BESS Capital Costs'!V$35*10^3),"-")</f>
        <v>-</v>
      </c>
    </row>
    <row r="36" spans="1:19" ht="6" customHeight="1" thickBot="1" x14ac:dyDescent="0.4">
      <c r="D36" s="1448"/>
      <c r="E36" s="1448"/>
      <c r="F36" s="1448"/>
      <c r="G36" s="1449"/>
      <c r="H36" s="1449"/>
      <c r="I36" s="1449"/>
      <c r="J36" s="1449"/>
      <c r="K36" s="1449"/>
      <c r="L36" s="1449"/>
      <c r="M36" s="1449"/>
      <c r="N36" s="1449"/>
      <c r="O36" s="1449"/>
      <c r="P36" s="1449"/>
      <c r="Q36" s="1449"/>
    </row>
    <row r="37" spans="1:19" ht="6" customHeight="1" thickTop="1" x14ac:dyDescent="0.35">
      <c r="D37" s="384" t="s">
        <v>114</v>
      </c>
      <c r="E37" s="384"/>
      <c r="F37" s="384"/>
      <c r="G37" s="1450"/>
      <c r="H37" s="1450"/>
      <c r="I37" s="1450"/>
      <c r="J37" s="1450"/>
      <c r="K37" s="1450"/>
      <c r="L37" s="1450"/>
      <c r="M37" s="1450"/>
      <c r="N37" s="1450"/>
      <c r="O37" s="1450"/>
      <c r="P37" s="1450"/>
      <c r="Q37" s="1450"/>
    </row>
    <row r="38" spans="1:19" ht="15" customHeight="1" x14ac:dyDescent="0.35">
      <c r="D38" s="1397" t="s">
        <v>683</v>
      </c>
      <c r="E38" s="1397"/>
      <c r="F38" s="1397"/>
      <c r="G38" s="1397"/>
      <c r="H38" s="1397"/>
      <c r="I38" s="1397"/>
      <c r="J38" s="1397"/>
      <c r="K38" s="1397"/>
      <c r="L38" s="2179"/>
      <c r="M38" s="1397"/>
      <c r="N38" s="1397"/>
      <c r="O38" s="1397"/>
      <c r="P38" s="1397"/>
      <c r="Q38" s="1397"/>
    </row>
    <row r="39" spans="1:19" x14ac:dyDescent="0.35">
      <c r="D39" s="1429"/>
      <c r="E39" s="1429"/>
      <c r="F39" s="1429"/>
      <c r="G39" s="1429"/>
      <c r="H39" s="1429"/>
      <c r="I39" s="1429"/>
      <c r="J39" s="1429"/>
      <c r="K39" s="1429"/>
      <c r="L39" s="1429"/>
      <c r="M39" s="1496"/>
      <c r="N39" s="1496"/>
      <c r="O39" s="1496"/>
      <c r="P39" s="1496"/>
      <c r="Q39" s="1496"/>
    </row>
    <row r="40" spans="1:19" x14ac:dyDescent="0.35">
      <c r="D40" s="1429"/>
      <c r="E40" s="1429"/>
      <c r="F40" s="1429"/>
      <c r="G40" s="1429"/>
      <c r="H40" s="1429"/>
      <c r="I40" s="1429"/>
      <c r="J40" s="1429"/>
      <c r="K40" s="1429"/>
      <c r="L40" s="1429"/>
      <c r="M40" s="1429"/>
      <c r="N40" s="1429"/>
      <c r="O40" s="1429"/>
      <c r="P40" s="1429"/>
      <c r="Q40" s="1429"/>
    </row>
    <row r="41" spans="1:19" x14ac:dyDescent="0.35">
      <c r="D41" s="1429"/>
      <c r="E41" s="1429"/>
      <c r="F41" s="1429"/>
      <c r="G41" s="1429"/>
      <c r="H41" s="1429"/>
      <c r="I41" s="1429"/>
      <c r="J41" s="1429"/>
      <c r="K41" s="1429"/>
      <c r="L41" s="1429"/>
      <c r="M41" s="1429"/>
      <c r="N41" s="1429"/>
      <c r="O41" s="1429"/>
      <c r="P41" s="1429"/>
      <c r="Q41" s="1429"/>
    </row>
    <row r="42" spans="1:19" x14ac:dyDescent="0.35">
      <c r="D42" s="1429"/>
      <c r="E42" s="1429"/>
      <c r="F42" s="1429"/>
      <c r="G42" s="1429"/>
      <c r="H42" s="1429"/>
      <c r="I42" s="1429"/>
      <c r="J42" s="1429"/>
      <c r="K42" s="1429"/>
      <c r="L42" s="1429"/>
      <c r="M42" s="1429"/>
      <c r="N42" s="1429"/>
      <c r="O42" s="1429"/>
      <c r="P42" s="1429"/>
      <c r="Q42" s="1429"/>
    </row>
  </sheetData>
  <mergeCells count="2">
    <mergeCell ref="M7:Q7"/>
    <mergeCell ref="G7:K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04A9-E408-4B5B-A3CF-38A9E1E9FB3D}">
  <sheetPr codeName="Sheet12">
    <pageSetUpPr autoPageBreaks="0"/>
  </sheetPr>
  <dimension ref="A1:CR99"/>
  <sheetViews>
    <sheetView showGridLines="0" zoomScale="70" zoomScaleNormal="70" workbookViewId="0"/>
  </sheetViews>
  <sheetFormatPr defaultRowHeight="15" customHeight="1" outlineLevelRow="1" outlineLevelCol="1" x14ac:dyDescent="0.35"/>
  <cols>
    <col min="1" max="3" width="13.54296875" style="31" customWidth="1"/>
    <col min="4" max="4" width="47.81640625" style="31" bestFit="1" customWidth="1"/>
    <col min="5" max="5" width="0.81640625" style="31" customWidth="1"/>
    <col min="6" max="6" width="15.81640625" style="32" customWidth="1" collapsed="1"/>
    <col min="7" max="7" width="15.81640625" style="32" customWidth="1"/>
    <col min="8" max="8" width="22.453125" style="32" customWidth="1"/>
    <col min="9" max="10" width="16.453125" style="32" customWidth="1"/>
    <col min="11" max="11" width="0.81640625" style="32" customWidth="1"/>
    <col min="12" max="16" width="16.453125" style="32" customWidth="1"/>
    <col min="17" max="17" width="10.1796875" style="82" customWidth="1"/>
    <col min="18" max="18" width="13.54296875" style="31" customWidth="1"/>
    <col min="19" max="19" width="31.453125" style="65" hidden="1" customWidth="1" outlineLevel="1"/>
    <col min="20" max="20" width="13.54296875" style="31" customWidth="1" collapsed="1"/>
    <col min="21" max="23" width="13.54296875" style="31" customWidth="1"/>
    <col min="24" max="258" width="8.7265625" style="31"/>
    <col min="259" max="259" width="35" style="31" customWidth="1"/>
    <col min="260" max="263" width="14.453125" style="31" customWidth="1"/>
    <col min="264" max="264" width="2.453125" style="31" customWidth="1"/>
    <col min="265" max="268" width="14.453125" style="31" customWidth="1"/>
    <col min="269" max="269" width="2.453125" style="31" customWidth="1"/>
    <col min="270" max="270" width="52.1796875" style="31" customWidth="1"/>
    <col min="271" max="514" width="8.7265625" style="31"/>
    <col min="515" max="515" width="35" style="31" customWidth="1"/>
    <col min="516" max="519" width="14.453125" style="31" customWidth="1"/>
    <col min="520" max="520" width="2.453125" style="31" customWidth="1"/>
    <col min="521" max="524" width="14.453125" style="31" customWidth="1"/>
    <col min="525" max="525" width="2.453125" style="31" customWidth="1"/>
    <col min="526" max="526" width="52.1796875" style="31" customWidth="1"/>
    <col min="527" max="770" width="8.7265625" style="31"/>
    <col min="771" max="771" width="35" style="31" customWidth="1"/>
    <col min="772" max="775" width="14.453125" style="31" customWidth="1"/>
    <col min="776" max="776" width="2.453125" style="31" customWidth="1"/>
    <col min="777" max="780" width="14.453125" style="31" customWidth="1"/>
    <col min="781" max="781" width="2.453125" style="31" customWidth="1"/>
    <col min="782" max="782" width="52.1796875" style="31" customWidth="1"/>
    <col min="783" max="1026" width="8.7265625" style="31"/>
    <col min="1027" max="1027" width="35" style="31" customWidth="1"/>
    <col min="1028" max="1031" width="14.453125" style="31" customWidth="1"/>
    <col min="1032" max="1032" width="2.453125" style="31" customWidth="1"/>
    <col min="1033" max="1036" width="14.453125" style="31" customWidth="1"/>
    <col min="1037" max="1037" width="2.453125" style="31" customWidth="1"/>
    <col min="1038" max="1038" width="52.1796875" style="31" customWidth="1"/>
    <col min="1039" max="1282" width="8.7265625" style="31"/>
    <col min="1283" max="1283" width="35" style="31" customWidth="1"/>
    <col min="1284" max="1287" width="14.453125" style="31" customWidth="1"/>
    <col min="1288" max="1288" width="2.453125" style="31" customWidth="1"/>
    <col min="1289" max="1292" width="14.453125" style="31" customWidth="1"/>
    <col min="1293" max="1293" width="2.453125" style="31" customWidth="1"/>
    <col min="1294" max="1294" width="52.1796875" style="31" customWidth="1"/>
    <col min="1295" max="1538" width="8.7265625" style="31"/>
    <col min="1539" max="1539" width="35" style="31" customWidth="1"/>
    <col min="1540" max="1543" width="14.453125" style="31" customWidth="1"/>
    <col min="1544" max="1544" width="2.453125" style="31" customWidth="1"/>
    <col min="1545" max="1548" width="14.453125" style="31" customWidth="1"/>
    <col min="1549" max="1549" width="2.453125" style="31" customWidth="1"/>
    <col min="1550" max="1550" width="52.1796875" style="31" customWidth="1"/>
    <col min="1551" max="1794" width="8.7265625" style="31"/>
    <col min="1795" max="1795" width="35" style="31" customWidth="1"/>
    <col min="1796" max="1799" width="14.453125" style="31" customWidth="1"/>
    <col min="1800" max="1800" width="2.453125" style="31" customWidth="1"/>
    <col min="1801" max="1804" width="14.453125" style="31" customWidth="1"/>
    <col min="1805" max="1805" width="2.453125" style="31" customWidth="1"/>
    <col min="1806" max="1806" width="52.1796875" style="31" customWidth="1"/>
    <col min="1807" max="2050" width="8.7265625" style="31"/>
    <col min="2051" max="2051" width="35" style="31" customWidth="1"/>
    <col min="2052" max="2055" width="14.453125" style="31" customWidth="1"/>
    <col min="2056" max="2056" width="2.453125" style="31" customWidth="1"/>
    <col min="2057" max="2060" width="14.453125" style="31" customWidth="1"/>
    <col min="2061" max="2061" width="2.453125" style="31" customWidth="1"/>
    <col min="2062" max="2062" width="52.1796875" style="31" customWidth="1"/>
    <col min="2063" max="2306" width="8.7265625" style="31"/>
    <col min="2307" max="2307" width="35" style="31" customWidth="1"/>
    <col min="2308" max="2311" width="14.453125" style="31" customWidth="1"/>
    <col min="2312" max="2312" width="2.453125" style="31" customWidth="1"/>
    <col min="2313" max="2316" width="14.453125" style="31" customWidth="1"/>
    <col min="2317" max="2317" width="2.453125" style="31" customWidth="1"/>
    <col min="2318" max="2318" width="52.1796875" style="31" customWidth="1"/>
    <col min="2319" max="2562" width="8.7265625" style="31"/>
    <col min="2563" max="2563" width="35" style="31" customWidth="1"/>
    <col min="2564" max="2567" width="14.453125" style="31" customWidth="1"/>
    <col min="2568" max="2568" width="2.453125" style="31" customWidth="1"/>
    <col min="2569" max="2572" width="14.453125" style="31" customWidth="1"/>
    <col min="2573" max="2573" width="2.453125" style="31" customWidth="1"/>
    <col min="2574" max="2574" width="52.1796875" style="31" customWidth="1"/>
    <col min="2575" max="2818" width="8.7265625" style="31"/>
    <col min="2819" max="2819" width="35" style="31" customWidth="1"/>
    <col min="2820" max="2823" width="14.453125" style="31" customWidth="1"/>
    <col min="2824" max="2824" width="2.453125" style="31" customWidth="1"/>
    <col min="2825" max="2828" width="14.453125" style="31" customWidth="1"/>
    <col min="2829" max="2829" width="2.453125" style="31" customWidth="1"/>
    <col min="2830" max="2830" width="52.1796875" style="31" customWidth="1"/>
    <col min="2831" max="3074" width="8.7265625" style="31"/>
    <col min="3075" max="3075" width="35" style="31" customWidth="1"/>
    <col min="3076" max="3079" width="14.453125" style="31" customWidth="1"/>
    <col min="3080" max="3080" width="2.453125" style="31" customWidth="1"/>
    <col min="3081" max="3084" width="14.453125" style="31" customWidth="1"/>
    <col min="3085" max="3085" width="2.453125" style="31" customWidth="1"/>
    <col min="3086" max="3086" width="52.1796875" style="31" customWidth="1"/>
    <col min="3087" max="3330" width="8.7265625" style="31"/>
    <col min="3331" max="3331" width="35" style="31" customWidth="1"/>
    <col min="3332" max="3335" width="14.453125" style="31" customWidth="1"/>
    <col min="3336" max="3336" width="2.453125" style="31" customWidth="1"/>
    <col min="3337" max="3340" width="14.453125" style="31" customWidth="1"/>
    <col min="3341" max="3341" width="2.453125" style="31" customWidth="1"/>
    <col min="3342" max="3342" width="52.1796875" style="31" customWidth="1"/>
    <col min="3343" max="3586" width="8.7265625" style="31"/>
    <col min="3587" max="3587" width="35" style="31" customWidth="1"/>
    <col min="3588" max="3591" width="14.453125" style="31" customWidth="1"/>
    <col min="3592" max="3592" width="2.453125" style="31" customWidth="1"/>
    <col min="3593" max="3596" width="14.453125" style="31" customWidth="1"/>
    <col min="3597" max="3597" width="2.453125" style="31" customWidth="1"/>
    <col min="3598" max="3598" width="52.1796875" style="31" customWidth="1"/>
    <col min="3599" max="3842" width="8.7265625" style="31"/>
    <col min="3843" max="3843" width="35" style="31" customWidth="1"/>
    <col min="3844" max="3847" width="14.453125" style="31" customWidth="1"/>
    <col min="3848" max="3848" width="2.453125" style="31" customWidth="1"/>
    <col min="3849" max="3852" width="14.453125" style="31" customWidth="1"/>
    <col min="3853" max="3853" width="2.453125" style="31" customWidth="1"/>
    <col min="3854" max="3854" width="52.1796875" style="31" customWidth="1"/>
    <col min="3855" max="4098" width="8.7265625" style="31"/>
    <col min="4099" max="4099" width="35" style="31" customWidth="1"/>
    <col min="4100" max="4103" width="14.453125" style="31" customWidth="1"/>
    <col min="4104" max="4104" width="2.453125" style="31" customWidth="1"/>
    <col min="4105" max="4108" width="14.453125" style="31" customWidth="1"/>
    <col min="4109" max="4109" width="2.453125" style="31" customWidth="1"/>
    <col min="4110" max="4110" width="52.1796875" style="31" customWidth="1"/>
    <col min="4111" max="4354" width="8.7265625" style="31"/>
    <col min="4355" max="4355" width="35" style="31" customWidth="1"/>
    <col min="4356" max="4359" width="14.453125" style="31" customWidth="1"/>
    <col min="4360" max="4360" width="2.453125" style="31" customWidth="1"/>
    <col min="4361" max="4364" width="14.453125" style="31" customWidth="1"/>
    <col min="4365" max="4365" width="2.453125" style="31" customWidth="1"/>
    <col min="4366" max="4366" width="52.1796875" style="31" customWidth="1"/>
    <col min="4367" max="4610" width="8.7265625" style="31"/>
    <col min="4611" max="4611" width="35" style="31" customWidth="1"/>
    <col min="4612" max="4615" width="14.453125" style="31" customWidth="1"/>
    <col min="4616" max="4616" width="2.453125" style="31" customWidth="1"/>
    <col min="4617" max="4620" width="14.453125" style="31" customWidth="1"/>
    <col min="4621" max="4621" width="2.453125" style="31" customWidth="1"/>
    <col min="4622" max="4622" width="52.1796875" style="31" customWidth="1"/>
    <col min="4623" max="4866" width="8.7265625" style="31"/>
    <col min="4867" max="4867" width="35" style="31" customWidth="1"/>
    <col min="4868" max="4871" width="14.453125" style="31" customWidth="1"/>
    <col min="4872" max="4872" width="2.453125" style="31" customWidth="1"/>
    <col min="4873" max="4876" width="14.453125" style="31" customWidth="1"/>
    <col min="4877" max="4877" width="2.453125" style="31" customWidth="1"/>
    <col min="4878" max="4878" width="52.1796875" style="31" customWidth="1"/>
    <col min="4879" max="5122" width="8.7265625" style="31"/>
    <col min="5123" max="5123" width="35" style="31" customWidth="1"/>
    <col min="5124" max="5127" width="14.453125" style="31" customWidth="1"/>
    <col min="5128" max="5128" width="2.453125" style="31" customWidth="1"/>
    <col min="5129" max="5132" width="14.453125" style="31" customWidth="1"/>
    <col min="5133" max="5133" width="2.453125" style="31" customWidth="1"/>
    <col min="5134" max="5134" width="52.1796875" style="31" customWidth="1"/>
    <col min="5135" max="5378" width="8.7265625" style="31"/>
    <col min="5379" max="5379" width="35" style="31" customWidth="1"/>
    <col min="5380" max="5383" width="14.453125" style="31" customWidth="1"/>
    <col min="5384" max="5384" width="2.453125" style="31" customWidth="1"/>
    <col min="5385" max="5388" width="14.453125" style="31" customWidth="1"/>
    <col min="5389" max="5389" width="2.453125" style="31" customWidth="1"/>
    <col min="5390" max="5390" width="52.1796875" style="31" customWidth="1"/>
    <col min="5391" max="5634" width="8.7265625" style="31"/>
    <col min="5635" max="5635" width="35" style="31" customWidth="1"/>
    <col min="5636" max="5639" width="14.453125" style="31" customWidth="1"/>
    <col min="5640" max="5640" width="2.453125" style="31" customWidth="1"/>
    <col min="5641" max="5644" width="14.453125" style="31" customWidth="1"/>
    <col min="5645" max="5645" width="2.453125" style="31" customWidth="1"/>
    <col min="5646" max="5646" width="52.1796875" style="31" customWidth="1"/>
    <col min="5647" max="5890" width="8.7265625" style="31"/>
    <col min="5891" max="5891" width="35" style="31" customWidth="1"/>
    <col min="5892" max="5895" width="14.453125" style="31" customWidth="1"/>
    <col min="5896" max="5896" width="2.453125" style="31" customWidth="1"/>
    <col min="5897" max="5900" width="14.453125" style="31" customWidth="1"/>
    <col min="5901" max="5901" width="2.453125" style="31" customWidth="1"/>
    <col min="5902" max="5902" width="52.1796875" style="31" customWidth="1"/>
    <col min="5903" max="6146" width="8.7265625" style="31"/>
    <col min="6147" max="6147" width="35" style="31" customWidth="1"/>
    <col min="6148" max="6151" width="14.453125" style="31" customWidth="1"/>
    <col min="6152" max="6152" width="2.453125" style="31" customWidth="1"/>
    <col min="6153" max="6156" width="14.453125" style="31" customWidth="1"/>
    <col min="6157" max="6157" width="2.453125" style="31" customWidth="1"/>
    <col min="6158" max="6158" width="52.1796875" style="31" customWidth="1"/>
    <col min="6159" max="6402" width="8.7265625" style="31"/>
    <col min="6403" max="6403" width="35" style="31" customWidth="1"/>
    <col min="6404" max="6407" width="14.453125" style="31" customWidth="1"/>
    <col min="6408" max="6408" width="2.453125" style="31" customWidth="1"/>
    <col min="6409" max="6412" width="14.453125" style="31" customWidth="1"/>
    <col min="6413" max="6413" width="2.453125" style="31" customWidth="1"/>
    <col min="6414" max="6414" width="52.1796875" style="31" customWidth="1"/>
    <col min="6415" max="6658" width="8.7265625" style="31"/>
    <col min="6659" max="6659" width="35" style="31" customWidth="1"/>
    <col min="6660" max="6663" width="14.453125" style="31" customWidth="1"/>
    <col min="6664" max="6664" width="2.453125" style="31" customWidth="1"/>
    <col min="6665" max="6668" width="14.453125" style="31" customWidth="1"/>
    <col min="6669" max="6669" width="2.453125" style="31" customWidth="1"/>
    <col min="6670" max="6670" width="52.1796875" style="31" customWidth="1"/>
    <col min="6671" max="6914" width="8.7265625" style="31"/>
    <col min="6915" max="6915" width="35" style="31" customWidth="1"/>
    <col min="6916" max="6919" width="14.453125" style="31" customWidth="1"/>
    <col min="6920" max="6920" width="2.453125" style="31" customWidth="1"/>
    <col min="6921" max="6924" width="14.453125" style="31" customWidth="1"/>
    <col min="6925" max="6925" width="2.453125" style="31" customWidth="1"/>
    <col min="6926" max="6926" width="52.1796875" style="31" customWidth="1"/>
    <col min="6927" max="7170" width="8.7265625" style="31"/>
    <col min="7171" max="7171" width="35" style="31" customWidth="1"/>
    <col min="7172" max="7175" width="14.453125" style="31" customWidth="1"/>
    <col min="7176" max="7176" width="2.453125" style="31" customWidth="1"/>
    <col min="7177" max="7180" width="14.453125" style="31" customWidth="1"/>
    <col min="7181" max="7181" width="2.453125" style="31" customWidth="1"/>
    <col min="7182" max="7182" width="52.1796875" style="31" customWidth="1"/>
    <col min="7183" max="7426" width="8.7265625" style="31"/>
    <col min="7427" max="7427" width="35" style="31" customWidth="1"/>
    <col min="7428" max="7431" width="14.453125" style="31" customWidth="1"/>
    <col min="7432" max="7432" width="2.453125" style="31" customWidth="1"/>
    <col min="7433" max="7436" width="14.453125" style="31" customWidth="1"/>
    <col min="7437" max="7437" width="2.453125" style="31" customWidth="1"/>
    <col min="7438" max="7438" width="52.1796875" style="31" customWidth="1"/>
    <col min="7439" max="7682" width="8.7265625" style="31"/>
    <col min="7683" max="7683" width="35" style="31" customWidth="1"/>
    <col min="7684" max="7687" width="14.453125" style="31" customWidth="1"/>
    <col min="7688" max="7688" width="2.453125" style="31" customWidth="1"/>
    <col min="7689" max="7692" width="14.453125" style="31" customWidth="1"/>
    <col min="7693" max="7693" width="2.453125" style="31" customWidth="1"/>
    <col min="7694" max="7694" width="52.1796875" style="31" customWidth="1"/>
    <col min="7695" max="7938" width="8.7265625" style="31"/>
    <col min="7939" max="7939" width="35" style="31" customWidth="1"/>
    <col min="7940" max="7943" width="14.453125" style="31" customWidth="1"/>
    <col min="7944" max="7944" width="2.453125" style="31" customWidth="1"/>
    <col min="7945" max="7948" width="14.453125" style="31" customWidth="1"/>
    <col min="7949" max="7949" width="2.453125" style="31" customWidth="1"/>
    <col min="7950" max="7950" width="52.1796875" style="31" customWidth="1"/>
    <col min="7951" max="8194" width="8.7265625" style="31"/>
    <col min="8195" max="8195" width="35" style="31" customWidth="1"/>
    <col min="8196" max="8199" width="14.453125" style="31" customWidth="1"/>
    <col min="8200" max="8200" width="2.453125" style="31" customWidth="1"/>
    <col min="8201" max="8204" width="14.453125" style="31" customWidth="1"/>
    <col min="8205" max="8205" width="2.453125" style="31" customWidth="1"/>
    <col min="8206" max="8206" width="52.1796875" style="31" customWidth="1"/>
    <col min="8207" max="8450" width="8.7265625" style="31"/>
    <col min="8451" max="8451" width="35" style="31" customWidth="1"/>
    <col min="8452" max="8455" width="14.453125" style="31" customWidth="1"/>
    <col min="8456" max="8456" width="2.453125" style="31" customWidth="1"/>
    <col min="8457" max="8460" width="14.453125" style="31" customWidth="1"/>
    <col min="8461" max="8461" width="2.453125" style="31" customWidth="1"/>
    <col min="8462" max="8462" width="52.1796875" style="31" customWidth="1"/>
    <col min="8463" max="8706" width="8.7265625" style="31"/>
    <col min="8707" max="8707" width="35" style="31" customWidth="1"/>
    <col min="8708" max="8711" width="14.453125" style="31" customWidth="1"/>
    <col min="8712" max="8712" width="2.453125" style="31" customWidth="1"/>
    <col min="8713" max="8716" width="14.453125" style="31" customWidth="1"/>
    <col min="8717" max="8717" width="2.453125" style="31" customWidth="1"/>
    <col min="8718" max="8718" width="52.1796875" style="31" customWidth="1"/>
    <col min="8719" max="8962" width="8.7265625" style="31"/>
    <col min="8963" max="8963" width="35" style="31" customWidth="1"/>
    <col min="8964" max="8967" width="14.453125" style="31" customWidth="1"/>
    <col min="8968" max="8968" width="2.453125" style="31" customWidth="1"/>
    <col min="8969" max="8972" width="14.453125" style="31" customWidth="1"/>
    <col min="8973" max="8973" width="2.453125" style="31" customWidth="1"/>
    <col min="8974" max="8974" width="52.1796875" style="31" customWidth="1"/>
    <col min="8975" max="9218" width="8.7265625" style="31"/>
    <col min="9219" max="9219" width="35" style="31" customWidth="1"/>
    <col min="9220" max="9223" width="14.453125" style="31" customWidth="1"/>
    <col min="9224" max="9224" width="2.453125" style="31" customWidth="1"/>
    <col min="9225" max="9228" width="14.453125" style="31" customWidth="1"/>
    <col min="9229" max="9229" width="2.453125" style="31" customWidth="1"/>
    <col min="9230" max="9230" width="52.1796875" style="31" customWidth="1"/>
    <col min="9231" max="9474" width="8.7265625" style="31"/>
    <col min="9475" max="9475" width="35" style="31" customWidth="1"/>
    <col min="9476" max="9479" width="14.453125" style="31" customWidth="1"/>
    <col min="9480" max="9480" width="2.453125" style="31" customWidth="1"/>
    <col min="9481" max="9484" width="14.453125" style="31" customWidth="1"/>
    <col min="9485" max="9485" width="2.453125" style="31" customWidth="1"/>
    <col min="9486" max="9486" width="52.1796875" style="31" customWidth="1"/>
    <col min="9487" max="9730" width="8.7265625" style="31"/>
    <col min="9731" max="9731" width="35" style="31" customWidth="1"/>
    <col min="9732" max="9735" width="14.453125" style="31" customWidth="1"/>
    <col min="9736" max="9736" width="2.453125" style="31" customWidth="1"/>
    <col min="9737" max="9740" width="14.453125" style="31" customWidth="1"/>
    <col min="9741" max="9741" width="2.453125" style="31" customWidth="1"/>
    <col min="9742" max="9742" width="52.1796875" style="31" customWidth="1"/>
    <col min="9743" max="9986" width="8.7265625" style="31"/>
    <col min="9987" max="9987" width="35" style="31" customWidth="1"/>
    <col min="9988" max="9991" width="14.453125" style="31" customWidth="1"/>
    <col min="9992" max="9992" width="2.453125" style="31" customWidth="1"/>
    <col min="9993" max="9996" width="14.453125" style="31" customWidth="1"/>
    <col min="9997" max="9997" width="2.453125" style="31" customWidth="1"/>
    <col min="9998" max="9998" width="52.1796875" style="31" customWidth="1"/>
    <col min="9999" max="10242" width="8.7265625" style="31"/>
    <col min="10243" max="10243" width="35" style="31" customWidth="1"/>
    <col min="10244" max="10247" width="14.453125" style="31" customWidth="1"/>
    <col min="10248" max="10248" width="2.453125" style="31" customWidth="1"/>
    <col min="10249" max="10252" width="14.453125" style="31" customWidth="1"/>
    <col min="10253" max="10253" width="2.453125" style="31" customWidth="1"/>
    <col min="10254" max="10254" width="52.1796875" style="31" customWidth="1"/>
    <col min="10255" max="10498" width="8.7265625" style="31"/>
    <col min="10499" max="10499" width="35" style="31" customWidth="1"/>
    <col min="10500" max="10503" width="14.453125" style="31" customWidth="1"/>
    <col min="10504" max="10504" width="2.453125" style="31" customWidth="1"/>
    <col min="10505" max="10508" width="14.453125" style="31" customWidth="1"/>
    <col min="10509" max="10509" width="2.453125" style="31" customWidth="1"/>
    <col min="10510" max="10510" width="52.1796875" style="31" customWidth="1"/>
    <col min="10511" max="10754" width="8.7265625" style="31"/>
    <col min="10755" max="10755" width="35" style="31" customWidth="1"/>
    <col min="10756" max="10759" width="14.453125" style="31" customWidth="1"/>
    <col min="10760" max="10760" width="2.453125" style="31" customWidth="1"/>
    <col min="10761" max="10764" width="14.453125" style="31" customWidth="1"/>
    <col min="10765" max="10765" width="2.453125" style="31" customWidth="1"/>
    <col min="10766" max="10766" width="52.1796875" style="31" customWidth="1"/>
    <col min="10767" max="11010" width="8.7265625" style="31"/>
    <col min="11011" max="11011" width="35" style="31" customWidth="1"/>
    <col min="11012" max="11015" width="14.453125" style="31" customWidth="1"/>
    <col min="11016" max="11016" width="2.453125" style="31" customWidth="1"/>
    <col min="11017" max="11020" width="14.453125" style="31" customWidth="1"/>
    <col min="11021" max="11021" width="2.453125" style="31" customWidth="1"/>
    <col min="11022" max="11022" width="52.1796875" style="31" customWidth="1"/>
    <col min="11023" max="11266" width="8.7265625" style="31"/>
    <col min="11267" max="11267" width="35" style="31" customWidth="1"/>
    <col min="11268" max="11271" width="14.453125" style="31" customWidth="1"/>
    <col min="11272" max="11272" width="2.453125" style="31" customWidth="1"/>
    <col min="11273" max="11276" width="14.453125" style="31" customWidth="1"/>
    <col min="11277" max="11277" width="2.453125" style="31" customWidth="1"/>
    <col min="11278" max="11278" width="52.1796875" style="31" customWidth="1"/>
    <col min="11279" max="11522" width="8.7265625" style="31"/>
    <col min="11523" max="11523" width="35" style="31" customWidth="1"/>
    <col min="11524" max="11527" width="14.453125" style="31" customWidth="1"/>
    <col min="11528" max="11528" width="2.453125" style="31" customWidth="1"/>
    <col min="11529" max="11532" width="14.453125" style="31" customWidth="1"/>
    <col min="11533" max="11533" width="2.453125" style="31" customWidth="1"/>
    <col min="11534" max="11534" width="52.1796875" style="31" customWidth="1"/>
    <col min="11535" max="11778" width="8.7265625" style="31"/>
    <col min="11779" max="11779" width="35" style="31" customWidth="1"/>
    <col min="11780" max="11783" width="14.453125" style="31" customWidth="1"/>
    <col min="11784" max="11784" width="2.453125" style="31" customWidth="1"/>
    <col min="11785" max="11788" width="14.453125" style="31" customWidth="1"/>
    <col min="11789" max="11789" width="2.453125" style="31" customWidth="1"/>
    <col min="11790" max="11790" width="52.1796875" style="31" customWidth="1"/>
    <col min="11791" max="12034" width="8.7265625" style="31"/>
    <col min="12035" max="12035" width="35" style="31" customWidth="1"/>
    <col min="12036" max="12039" width="14.453125" style="31" customWidth="1"/>
    <col min="12040" max="12040" width="2.453125" style="31" customWidth="1"/>
    <col min="12041" max="12044" width="14.453125" style="31" customWidth="1"/>
    <col min="12045" max="12045" width="2.453125" style="31" customWidth="1"/>
    <col min="12046" max="12046" width="52.1796875" style="31" customWidth="1"/>
    <col min="12047" max="12290" width="8.7265625" style="31"/>
    <col min="12291" max="12291" width="35" style="31" customWidth="1"/>
    <col min="12292" max="12295" width="14.453125" style="31" customWidth="1"/>
    <col min="12296" max="12296" width="2.453125" style="31" customWidth="1"/>
    <col min="12297" max="12300" width="14.453125" style="31" customWidth="1"/>
    <col min="12301" max="12301" width="2.453125" style="31" customWidth="1"/>
    <col min="12302" max="12302" width="52.1796875" style="31" customWidth="1"/>
    <col min="12303" max="12546" width="8.7265625" style="31"/>
    <col min="12547" max="12547" width="35" style="31" customWidth="1"/>
    <col min="12548" max="12551" width="14.453125" style="31" customWidth="1"/>
    <col min="12552" max="12552" width="2.453125" style="31" customWidth="1"/>
    <col min="12553" max="12556" width="14.453125" style="31" customWidth="1"/>
    <col min="12557" max="12557" width="2.453125" style="31" customWidth="1"/>
    <col min="12558" max="12558" width="52.1796875" style="31" customWidth="1"/>
    <col min="12559" max="12802" width="8.7265625" style="31"/>
    <col min="12803" max="12803" width="35" style="31" customWidth="1"/>
    <col min="12804" max="12807" width="14.453125" style="31" customWidth="1"/>
    <col min="12808" max="12808" width="2.453125" style="31" customWidth="1"/>
    <col min="12809" max="12812" width="14.453125" style="31" customWidth="1"/>
    <col min="12813" max="12813" width="2.453125" style="31" customWidth="1"/>
    <col min="12814" max="12814" width="52.1796875" style="31" customWidth="1"/>
    <col min="12815" max="13058" width="8.7265625" style="31"/>
    <col min="13059" max="13059" width="35" style="31" customWidth="1"/>
    <col min="13060" max="13063" width="14.453125" style="31" customWidth="1"/>
    <col min="13064" max="13064" width="2.453125" style="31" customWidth="1"/>
    <col min="13065" max="13068" width="14.453125" style="31" customWidth="1"/>
    <col min="13069" max="13069" width="2.453125" style="31" customWidth="1"/>
    <col min="13070" max="13070" width="52.1796875" style="31" customWidth="1"/>
    <col min="13071" max="13314" width="8.7265625" style="31"/>
    <col min="13315" max="13315" width="35" style="31" customWidth="1"/>
    <col min="13316" max="13319" width="14.453125" style="31" customWidth="1"/>
    <col min="13320" max="13320" width="2.453125" style="31" customWidth="1"/>
    <col min="13321" max="13324" width="14.453125" style="31" customWidth="1"/>
    <col min="13325" max="13325" width="2.453125" style="31" customWidth="1"/>
    <col min="13326" max="13326" width="52.1796875" style="31" customWidth="1"/>
    <col min="13327" max="13570" width="8.7265625" style="31"/>
    <col min="13571" max="13571" width="35" style="31" customWidth="1"/>
    <col min="13572" max="13575" width="14.453125" style="31" customWidth="1"/>
    <col min="13576" max="13576" width="2.453125" style="31" customWidth="1"/>
    <col min="13577" max="13580" width="14.453125" style="31" customWidth="1"/>
    <col min="13581" max="13581" width="2.453125" style="31" customWidth="1"/>
    <col min="13582" max="13582" width="52.1796875" style="31" customWidth="1"/>
    <col min="13583" max="13826" width="8.7265625" style="31"/>
    <col min="13827" max="13827" width="35" style="31" customWidth="1"/>
    <col min="13828" max="13831" width="14.453125" style="31" customWidth="1"/>
    <col min="13832" max="13832" width="2.453125" style="31" customWidth="1"/>
    <col min="13833" max="13836" width="14.453125" style="31" customWidth="1"/>
    <col min="13837" max="13837" width="2.453125" style="31" customWidth="1"/>
    <col min="13838" max="13838" width="52.1796875" style="31" customWidth="1"/>
    <col min="13839" max="14082" width="8.7265625" style="31"/>
    <col min="14083" max="14083" width="35" style="31" customWidth="1"/>
    <col min="14084" max="14087" width="14.453125" style="31" customWidth="1"/>
    <col min="14088" max="14088" width="2.453125" style="31" customWidth="1"/>
    <col min="14089" max="14092" width="14.453125" style="31" customWidth="1"/>
    <col min="14093" max="14093" width="2.453125" style="31" customWidth="1"/>
    <col min="14094" max="14094" width="52.1796875" style="31" customWidth="1"/>
    <col min="14095" max="14338" width="8.7265625" style="31"/>
    <col min="14339" max="14339" width="35" style="31" customWidth="1"/>
    <col min="14340" max="14343" width="14.453125" style="31" customWidth="1"/>
    <col min="14344" max="14344" width="2.453125" style="31" customWidth="1"/>
    <col min="14345" max="14348" width="14.453125" style="31" customWidth="1"/>
    <col min="14349" max="14349" width="2.453125" style="31" customWidth="1"/>
    <col min="14350" max="14350" width="52.1796875" style="31" customWidth="1"/>
    <col min="14351" max="14594" width="8.7265625" style="31"/>
    <col min="14595" max="14595" width="35" style="31" customWidth="1"/>
    <col min="14596" max="14599" width="14.453125" style="31" customWidth="1"/>
    <col min="14600" max="14600" width="2.453125" style="31" customWidth="1"/>
    <col min="14601" max="14604" width="14.453125" style="31" customWidth="1"/>
    <col min="14605" max="14605" width="2.453125" style="31" customWidth="1"/>
    <col min="14606" max="14606" width="52.1796875" style="31" customWidth="1"/>
    <col min="14607" max="14850" width="8.7265625" style="31"/>
    <col min="14851" max="14851" width="35" style="31" customWidth="1"/>
    <col min="14852" max="14855" width="14.453125" style="31" customWidth="1"/>
    <col min="14856" max="14856" width="2.453125" style="31" customWidth="1"/>
    <col min="14857" max="14860" width="14.453125" style="31" customWidth="1"/>
    <col min="14861" max="14861" width="2.453125" style="31" customWidth="1"/>
    <col min="14862" max="14862" width="52.1796875" style="31" customWidth="1"/>
    <col min="14863" max="15106" width="8.7265625" style="31"/>
    <col min="15107" max="15107" width="35" style="31" customWidth="1"/>
    <col min="15108" max="15111" width="14.453125" style="31" customWidth="1"/>
    <col min="15112" max="15112" width="2.453125" style="31" customWidth="1"/>
    <col min="15113" max="15116" width="14.453125" style="31" customWidth="1"/>
    <col min="15117" max="15117" width="2.453125" style="31" customWidth="1"/>
    <col min="15118" max="15118" width="52.1796875" style="31" customWidth="1"/>
    <col min="15119" max="15362" width="8.7265625" style="31"/>
    <col min="15363" max="15363" width="35" style="31" customWidth="1"/>
    <col min="15364" max="15367" width="14.453125" style="31" customWidth="1"/>
    <col min="15368" max="15368" width="2.453125" style="31" customWidth="1"/>
    <col min="15369" max="15372" width="14.453125" style="31" customWidth="1"/>
    <col min="15373" max="15373" width="2.453125" style="31" customWidth="1"/>
    <col min="15374" max="15374" width="52.1796875" style="31" customWidth="1"/>
    <col min="15375" max="15618" width="8.7265625" style="31"/>
    <col min="15619" max="15619" width="35" style="31" customWidth="1"/>
    <col min="15620" max="15623" width="14.453125" style="31" customWidth="1"/>
    <col min="15624" max="15624" width="2.453125" style="31" customWidth="1"/>
    <col min="15625" max="15628" width="14.453125" style="31" customWidth="1"/>
    <col min="15629" max="15629" width="2.453125" style="31" customWidth="1"/>
    <col min="15630" max="15630" width="52.1796875" style="31" customWidth="1"/>
    <col min="15631" max="15874" width="8.7265625" style="31"/>
    <col min="15875" max="15875" width="35" style="31" customWidth="1"/>
    <col min="15876" max="15879" width="14.453125" style="31" customWidth="1"/>
    <col min="15880" max="15880" width="2.453125" style="31" customWidth="1"/>
    <col min="15881" max="15884" width="14.453125" style="31" customWidth="1"/>
    <col min="15885" max="15885" width="2.453125" style="31" customWidth="1"/>
    <col min="15886" max="15886" width="52.1796875" style="31" customWidth="1"/>
    <col min="15887" max="16130" width="8.7265625" style="31"/>
    <col min="16131" max="16131" width="35" style="31" customWidth="1"/>
    <col min="16132" max="16135" width="14.453125" style="31" customWidth="1"/>
    <col min="16136" max="16136" width="2.453125" style="31" customWidth="1"/>
    <col min="16137" max="16140" width="14.453125" style="31" customWidth="1"/>
    <col min="16141" max="16141" width="2.453125" style="31" customWidth="1"/>
    <col min="16142" max="16142" width="52.1796875" style="31" customWidth="1"/>
    <col min="16143" max="16376" width="8.7265625" style="31"/>
    <col min="16377" max="16384" width="8.7265625" style="31" customWidth="1"/>
  </cols>
  <sheetData>
    <row r="1" spans="1:96" ht="15" customHeight="1" x14ac:dyDescent="0.35">
      <c r="A1" s="1324" t="s">
        <v>275</v>
      </c>
      <c r="B1" s="1499"/>
      <c r="D1" s="37"/>
      <c r="E1" s="37"/>
      <c r="F1" s="1500"/>
      <c r="G1" s="1500"/>
      <c r="J1" s="1500"/>
      <c r="K1" s="1501"/>
      <c r="L1" s="1500"/>
      <c r="M1" s="1500"/>
      <c r="N1" s="1500"/>
      <c r="O1" s="1500"/>
      <c r="P1" s="1500"/>
      <c r="S1" s="1092"/>
      <c r="T1" s="1498"/>
    </row>
    <row r="2" spans="1:96" ht="15" customHeight="1" x14ac:dyDescent="0.35">
      <c r="F2" s="1500"/>
      <c r="G2" s="1500"/>
      <c r="J2" s="1500"/>
      <c r="K2" s="1501"/>
      <c r="L2" s="1500"/>
      <c r="M2" s="1500"/>
      <c r="N2" s="1500"/>
      <c r="O2" s="1500"/>
      <c r="P2" s="1500"/>
      <c r="S2" s="1093"/>
      <c r="T2" s="1498"/>
    </row>
    <row r="3" spans="1:96" ht="15" customHeight="1" x14ac:dyDescent="0.35">
      <c r="D3" s="88" t="str">
        <f>LEFT(D4,FIND(":",D4)-1)</f>
        <v>Table T9</v>
      </c>
      <c r="E3" s="88"/>
      <c r="F3" s="1500"/>
      <c r="G3" s="1500"/>
      <c r="H3" s="1500"/>
      <c r="I3" s="1500"/>
      <c r="J3" s="1500"/>
      <c r="K3" s="1501"/>
      <c r="L3" s="1500"/>
      <c r="M3" s="1500"/>
      <c r="N3" s="1500"/>
      <c r="O3" s="1500"/>
      <c r="P3" s="1500"/>
      <c r="S3" s="195"/>
      <c r="T3" s="1498"/>
    </row>
    <row r="4" spans="1:96" ht="15" customHeight="1" x14ac:dyDescent="0.45">
      <c r="D4" s="1656" t="str">
        <f>ToC!$J$16</f>
        <v>Table T9: Operations &amp; Maintenance Costs for CT Resource (Nominal$)</v>
      </c>
      <c r="E4" s="1503"/>
      <c r="F4" s="1503"/>
      <c r="G4" s="1503"/>
      <c r="H4" s="1503"/>
      <c r="I4" s="1503"/>
      <c r="J4" s="1503"/>
      <c r="K4" s="1502"/>
      <c r="L4" s="1503"/>
      <c r="M4" s="1503"/>
      <c r="N4" s="1503"/>
      <c r="O4" s="1503"/>
      <c r="P4" s="1503"/>
      <c r="S4" s="197"/>
      <c r="T4" s="1498"/>
    </row>
    <row r="5" spans="1:96" ht="6" customHeight="1" thickBot="1" x14ac:dyDescent="0.4">
      <c r="D5" s="686"/>
      <c r="E5" s="686"/>
      <c r="F5" s="1504"/>
      <c r="G5" s="1504"/>
      <c r="H5" s="1504"/>
      <c r="I5" s="1504"/>
      <c r="J5" s="1504"/>
      <c r="K5" s="1505"/>
      <c r="L5" s="1504"/>
      <c r="M5" s="1504"/>
      <c r="N5" s="1504"/>
      <c r="O5" s="1504"/>
      <c r="P5" s="1504"/>
    </row>
    <row r="6" spans="1:96" ht="6" customHeight="1" thickTop="1" x14ac:dyDescent="0.35">
      <c r="F6" s="1506"/>
      <c r="G6" s="753"/>
      <c r="H6" s="753"/>
      <c r="I6" s="753"/>
      <c r="J6" s="753"/>
      <c r="K6" s="1507"/>
      <c r="L6" s="1506"/>
      <c r="M6" s="753"/>
      <c r="N6" s="753"/>
      <c r="O6" s="753"/>
      <c r="P6" s="753"/>
    </row>
    <row r="7" spans="1:96" ht="14.5" x14ac:dyDescent="0.35">
      <c r="D7" s="1508"/>
      <c r="E7" s="1426"/>
      <c r="F7" s="2192" t="str">
        <f>"Current O&amp;M Costs: "&amp;TEXT(Control!$H$18,"mm/yyyy")</f>
        <v>Current O&amp;M Costs: 01/2025</v>
      </c>
      <c r="G7" s="2192"/>
      <c r="H7" s="2192"/>
      <c r="I7" s="2192"/>
      <c r="J7" s="2192"/>
      <c r="K7" s="1509"/>
      <c r="L7" s="2191" t="str">
        <f>"Escalated O&amp;M Costs: "&amp;TEXT(Control!$H$19,"mm/yyyy")</f>
        <v>Escalated O&amp;M Costs: 06/2028</v>
      </c>
      <c r="M7" s="2191"/>
      <c r="N7" s="2191"/>
      <c r="O7" s="2191"/>
      <c r="P7" s="2191"/>
    </row>
    <row r="8" spans="1:96" ht="6" customHeight="1" x14ac:dyDescent="0.35">
      <c r="D8" s="1508"/>
      <c r="E8" s="1428"/>
      <c r="F8" s="753"/>
      <c r="G8" s="753"/>
      <c r="H8" s="753"/>
      <c r="I8" s="753"/>
      <c r="J8" s="753"/>
      <c r="K8" s="1505"/>
      <c r="L8" s="753"/>
      <c r="M8" s="753"/>
      <c r="N8" s="753"/>
      <c r="O8" s="753"/>
      <c r="P8" s="753"/>
    </row>
    <row r="9" spans="1:96" s="83" customFormat="1" ht="15" customHeight="1" x14ac:dyDescent="0.35">
      <c r="A9" s="1421"/>
      <c r="B9" s="1421"/>
      <c r="C9" s="1421"/>
      <c r="D9" s="1508" t="s">
        <v>24</v>
      </c>
      <c r="E9" s="1428"/>
      <c r="F9" s="1428" t="s">
        <v>259</v>
      </c>
      <c r="G9" s="1428" t="s">
        <v>259</v>
      </c>
      <c r="H9" s="1428" t="s">
        <v>259</v>
      </c>
      <c r="I9" s="1428" t="s">
        <v>259</v>
      </c>
      <c r="J9" s="1428" t="s">
        <v>259</v>
      </c>
      <c r="K9" s="1428"/>
      <c r="L9" s="1428" t="s">
        <v>259</v>
      </c>
      <c r="M9" s="1428" t="s">
        <v>259</v>
      </c>
      <c r="N9" s="1428" t="s">
        <v>259</v>
      </c>
      <c r="O9" s="1428" t="s">
        <v>259</v>
      </c>
      <c r="P9" s="1428" t="s">
        <v>259</v>
      </c>
      <c r="Q9" s="82"/>
      <c r="S9" s="71"/>
    </row>
    <row r="10" spans="1:96" ht="15" hidden="1" customHeight="1" outlineLevel="1" x14ac:dyDescent="0.35">
      <c r="E10" s="1430"/>
      <c r="F10" s="1378">
        <v>1</v>
      </c>
      <c r="G10" s="1378">
        <v>2</v>
      </c>
      <c r="H10" s="1378">
        <v>3</v>
      </c>
      <c r="I10" s="1378">
        <v>4</v>
      </c>
      <c r="J10" s="1378">
        <v>5</v>
      </c>
      <c r="K10" s="1509"/>
      <c r="L10" s="1378">
        <v>1</v>
      </c>
      <c r="M10" s="1378">
        <v>2</v>
      </c>
      <c r="N10" s="1378">
        <v>3</v>
      </c>
      <c r="O10" s="1378">
        <v>4</v>
      </c>
      <c r="P10" s="1378">
        <v>5</v>
      </c>
      <c r="R10" s="1497"/>
      <c r="S10" s="2193" t="s">
        <v>269</v>
      </c>
      <c r="T10" s="1497"/>
    </row>
    <row r="11" spans="1:96" ht="15" customHeight="1" collapsed="1" x14ac:dyDescent="0.35">
      <c r="D11" s="1508" t="s">
        <v>287</v>
      </c>
      <c r="E11" s="1431"/>
      <c r="F11" s="1380" t="s">
        <v>288</v>
      </c>
      <c r="G11" s="1380" t="s">
        <v>289</v>
      </c>
      <c r="H11" s="1380" t="s">
        <v>290</v>
      </c>
      <c r="I11" s="1380" t="s">
        <v>291</v>
      </c>
      <c r="J11" s="1380" t="s">
        <v>299</v>
      </c>
      <c r="K11" s="1510"/>
      <c r="L11" s="1380" t="s">
        <v>288</v>
      </c>
      <c r="M11" s="1380" t="s">
        <v>289</v>
      </c>
      <c r="N11" s="1380" t="s">
        <v>290</v>
      </c>
      <c r="O11" s="1380" t="s">
        <v>291</v>
      </c>
      <c r="P11" s="1380" t="s">
        <v>299</v>
      </c>
      <c r="R11" s="1497"/>
      <c r="S11" s="2193"/>
      <c r="T11" s="1497"/>
    </row>
    <row r="12" spans="1:96" ht="15" customHeight="1" x14ac:dyDescent="0.35">
      <c r="D12" s="1402" t="str">
        <f>Control!$D$42&amp;" (MW)"</f>
        <v>Net Summer Capacity (MW)</v>
      </c>
      <c r="E12" s="1432"/>
      <c r="F12" s="1511" t="str">
        <f>'Capital Costs - CT'!G12</f>
        <v>-</v>
      </c>
      <c r="G12" s="1511" t="str">
        <f>'Capital Costs - CT'!H12</f>
        <v>-</v>
      </c>
      <c r="H12" s="1511" t="str">
        <f>'Capital Costs - CT'!I12</f>
        <v>-</v>
      </c>
      <c r="I12" s="1511" t="str">
        <f>'Capital Costs - CT'!J12</f>
        <v>-</v>
      </c>
      <c r="J12" s="1511" t="str">
        <f>'Capital Costs - CT'!K12</f>
        <v>-</v>
      </c>
      <c r="K12" s="1512"/>
      <c r="L12" s="1511" t="str">
        <f>'Capital Costs - CT'!M12</f>
        <v>-</v>
      </c>
      <c r="M12" s="1511" t="str">
        <f>'Capital Costs - CT'!N12</f>
        <v>-</v>
      </c>
      <c r="N12" s="1511" t="str">
        <f>'Capital Costs - CT'!O12</f>
        <v>-</v>
      </c>
      <c r="O12" s="1511" t="str">
        <f>'Capital Costs - CT'!P12</f>
        <v>-</v>
      </c>
      <c r="P12" s="1511" t="str">
        <f>'Capital Costs - CT'!Q12</f>
        <v>-</v>
      </c>
      <c r="R12" s="1497"/>
      <c r="S12" s="931"/>
      <c r="T12" s="1497"/>
    </row>
    <row r="13" spans="1:96" ht="6" customHeight="1" x14ac:dyDescent="0.35">
      <c r="D13" s="1513"/>
      <c r="E13" s="1513"/>
      <c r="F13" s="672"/>
      <c r="G13" s="672"/>
      <c r="H13" s="672"/>
      <c r="I13" s="672"/>
      <c r="J13" s="672"/>
      <c r="K13" s="1514"/>
      <c r="L13" s="672"/>
      <c r="M13" s="672"/>
      <c r="N13" s="672"/>
      <c r="O13" s="672"/>
      <c r="P13" s="672"/>
    </row>
    <row r="14" spans="1:96" ht="6" customHeight="1" x14ac:dyDescent="0.35">
      <c r="D14" s="683"/>
      <c r="E14" s="683"/>
      <c r="F14" s="1515"/>
      <c r="G14" s="1515"/>
      <c r="H14" s="1515"/>
      <c r="I14" s="1515"/>
      <c r="J14" s="1515"/>
      <c r="K14" s="1516"/>
      <c r="L14" s="1515"/>
      <c r="M14" s="1515"/>
      <c r="N14" s="1515"/>
      <c r="O14" s="1515"/>
      <c r="P14" s="1515"/>
      <c r="R14" s="683"/>
      <c r="S14" s="67"/>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row>
    <row r="15" spans="1:96" ht="15" customHeight="1" x14ac:dyDescent="0.35">
      <c r="D15" s="1654" t="s">
        <v>559</v>
      </c>
      <c r="E15" s="68"/>
      <c r="F15" s="1000"/>
      <c r="G15" s="934"/>
      <c r="H15" s="934"/>
      <c r="I15" s="934"/>
      <c r="J15" s="934"/>
      <c r="K15" s="935"/>
      <c r="L15" s="934"/>
      <c r="M15" s="934"/>
      <c r="N15" s="934"/>
      <c r="O15" s="934"/>
      <c r="P15" s="934"/>
    </row>
    <row r="16" spans="1:96" ht="15" customHeight="1" x14ac:dyDescent="0.35">
      <c r="D16" s="1864" t="s">
        <v>201</v>
      </c>
      <c r="E16" s="1864"/>
      <c r="F16" s="1894" t="str" cm="1">
        <f t="array" ref="F16">IF(Control!$H$10=Control!$I$10, (INDEX('CT OM Costs'!$K$36:$O$67, MATCH($S16, 'CT OM Costs'!$D$36:$D$67, 0),F$10))/1000000, "-")</f>
        <v>-</v>
      </c>
      <c r="G16" s="1894" t="str" cm="1">
        <f t="array" ref="G16">IF(Control!$H$10=Control!$I$10, (INDEX('CT OM Costs'!$K$36:$O$67, MATCH($S16, 'CT OM Costs'!$D$36:$D$67, 0),G$10))/1000000, "-")</f>
        <v>-</v>
      </c>
      <c r="H16" s="2166" t="str" cm="1">
        <f t="array" ref="H16">IF(Control!$H$10=Control!$I$10, (INDEX('CT OM Costs'!$K$36:$O$67, MATCH($S16, 'CT OM Costs'!$D$36:$D$67, 0),H$10))/1000000, "-")</f>
        <v>-</v>
      </c>
      <c r="I16" s="1894" t="str" cm="1">
        <f t="array" ref="I16">IF(Control!$H$10=Control!$I$10, (INDEX('CT OM Costs'!$K$36:$O$67, MATCH($S16, 'CT OM Costs'!$D$36:$D$67, 0),I$10))/1000000, "-")</f>
        <v>-</v>
      </c>
      <c r="J16" s="1894" t="str" cm="1">
        <f t="array" ref="J16">IF(Control!$H$10=Control!$I$10, (INDEX('CT OM Costs'!$K$36:$O$67, MATCH($S16, 'CT OM Costs'!$D$36:$D$67, 0),J$10))/1000000, "-")</f>
        <v>-</v>
      </c>
      <c r="K16" s="1894"/>
      <c r="L16" s="1862" t="str" cm="1">
        <f t="array" ref="L16">IF(Control!$H$10=Control!$I$10, (INDEX('CT OM Costs'!$R$36:$V$67, MATCH($S16, 'CT OM Costs'!$D$36:$D$67, 0),L$10))/1000000, "-")</f>
        <v>-</v>
      </c>
      <c r="M16" s="1862" t="str" cm="1">
        <f t="array" ref="M16">IF(Control!$H$10=Control!$I$10, (INDEX('CT OM Costs'!$R$36:$V$67, MATCH($S16, 'CT OM Costs'!$D$36:$D$67, 0),M$10))/1000000, "-")</f>
        <v>-</v>
      </c>
      <c r="N16" s="1862" t="str" cm="1">
        <f t="array" ref="N16">IF(Control!$H$10=Control!$I$10, (INDEX('CT OM Costs'!$R$36:$V$67, MATCH($S16, 'CT OM Costs'!$D$36:$D$67, 0),N$10))/1000000, "-")</f>
        <v>-</v>
      </c>
      <c r="O16" s="1862" t="str" cm="1">
        <f t="array" ref="O16">IF(Control!$H$10=Control!$I$10, (INDEX('CT OM Costs'!$R$36:$V$67, MATCH($S16, 'CT OM Costs'!$D$36:$D$67, 0),O$10))/1000000, "-")</f>
        <v>-</v>
      </c>
      <c r="P16" s="1862" t="str" cm="1">
        <f t="array" ref="P16">IF(Control!$H$10=Control!$I$10, (INDEX('CT OM Costs'!$R$36:$V$67, MATCH($S16, 'CT OM Costs'!$D$36:$D$67, 0),P$10))/1000000, "-")</f>
        <v>-</v>
      </c>
      <c r="S16" s="66" t="str">
        <f>'CT OM Costs'!$D40</f>
        <v>Long-term Service Agreement (LTSA)</v>
      </c>
      <c r="U16" s="993"/>
      <c r="V16" s="993"/>
    </row>
    <row r="17" spans="1:22" ht="15" customHeight="1" x14ac:dyDescent="0.35">
      <c r="D17" s="2088" t="str">
        <f>'O&amp;M Costs - CT'!S17</f>
        <v>Labor</v>
      </c>
      <c r="E17" s="1562"/>
      <c r="F17" s="1871" t="str" cm="1">
        <f t="array" ref="F17">IF(Control!$H$10=Control!$I$10, (INDEX('CT OM Costs'!$K$36:$O$67, MATCH($S17, 'CT OM Costs'!$D$36:$D$67, 0),F$10))/1000000, "-")</f>
        <v>-</v>
      </c>
      <c r="G17" s="1871" t="str" cm="1">
        <f t="array" ref="G17">IF(Control!$H$10=Control!$I$10, (INDEX('CT OM Costs'!$K$36:$O$67, MATCH($S17, 'CT OM Costs'!$D$36:$D$67, 0),G$10))/1000000, "-")</f>
        <v>-</v>
      </c>
      <c r="H17" s="1872" t="str" cm="1">
        <f t="array" ref="H17">IF(Control!$H$10=Control!$I$10, (INDEX('CT OM Costs'!$K$36:$O$67, MATCH($S17, 'CT OM Costs'!$D$36:$D$67, 0),H$10))/1000000, "-")</f>
        <v>-</v>
      </c>
      <c r="I17" s="1871" t="str" cm="1">
        <f t="array" ref="I17">IF(Control!$H$10=Control!$I$10, (INDEX('CT OM Costs'!$K$36:$O$67, MATCH($S17, 'CT OM Costs'!$D$36:$D$67, 0),I$10))/1000000, "-")</f>
        <v>-</v>
      </c>
      <c r="J17" s="1871" t="str" cm="1">
        <f t="array" ref="J17">IF(Control!$H$10=Control!$I$10, (INDEX('CT OM Costs'!$K$36:$O$67, MATCH($S17, 'CT OM Costs'!$D$36:$D$67, 0),J$10))/1000000, "-")</f>
        <v>-</v>
      </c>
      <c r="K17" s="1871"/>
      <c r="L17" s="1863" t="str" cm="1">
        <f t="array" ref="L17">IF(Control!$H$10=Control!$I$10, (INDEX('CT OM Costs'!$R$36:$V$67, MATCH($S17, 'CT OM Costs'!$D$36:$D$67, 0),L$10))/1000000, "-")</f>
        <v>-</v>
      </c>
      <c r="M17" s="1863" t="str" cm="1">
        <f t="array" ref="M17">IF(Control!$H$10=Control!$I$10, (INDEX('CT OM Costs'!$R$36:$V$67, MATCH($S17, 'CT OM Costs'!$D$36:$D$67, 0),M$10))/1000000, "-")</f>
        <v>-</v>
      </c>
      <c r="N17" s="1863" t="str" cm="1">
        <f t="array" ref="N17">IF(Control!$H$10=Control!$I$10, (INDEX('CT OM Costs'!$R$36:$V$67, MATCH($S17, 'CT OM Costs'!$D$36:$D$67, 0),N$10))/1000000, "-")</f>
        <v>-</v>
      </c>
      <c r="O17" s="1863" t="str" cm="1">
        <f t="array" ref="O17">IF(Control!$H$10=Control!$I$10, (INDEX('CT OM Costs'!$R$36:$V$67, MATCH($S17, 'CT OM Costs'!$D$36:$D$67, 0),O$10))/1000000, "-")</f>
        <v>-</v>
      </c>
      <c r="P17" s="1863" t="str" cm="1">
        <f t="array" ref="P17">IF(Control!$H$10=Control!$I$10, (INDEX('CT OM Costs'!$R$36:$V$67, MATCH($S17, 'CT OM Costs'!$D$36:$D$67, 0),P$10))/1000000, "-")</f>
        <v>-</v>
      </c>
      <c r="S17" s="66" t="str">
        <f>'CT OM Costs'!$D41</f>
        <v>Labor</v>
      </c>
      <c r="U17" s="993"/>
      <c r="V17" s="993"/>
    </row>
    <row r="18" spans="1:22" ht="15" customHeight="1" x14ac:dyDescent="0.35">
      <c r="D18" s="1864" t="str">
        <f>'O&amp;M Costs - CT'!S18</f>
        <v>Maintenance and Minor Repairs</v>
      </c>
      <c r="E18" s="1864"/>
      <c r="F18" s="1894" t="str" cm="1">
        <f t="array" ref="F18">IF(Control!$H$10=Control!$I$10, (INDEX('CT OM Costs'!$K$36:$O$67, MATCH($S18, 'CT OM Costs'!$D$36:$D$67, 0),F$10))/1000000, "-")</f>
        <v>-</v>
      </c>
      <c r="G18" s="1894" t="str" cm="1">
        <f t="array" ref="G18">IF(Control!$H$10=Control!$I$10, (INDEX('CT OM Costs'!$K$36:$O$67, MATCH($S18, 'CT OM Costs'!$D$36:$D$67, 0),G$10))/1000000, "-")</f>
        <v>-</v>
      </c>
      <c r="H18" s="2166" t="str" cm="1">
        <f t="array" ref="H18">IF(Control!$H$10=Control!$I$10, (INDEX('CT OM Costs'!$K$36:$O$67, MATCH($S18, 'CT OM Costs'!$D$36:$D$67, 0),H$10))/1000000, "-")</f>
        <v>-</v>
      </c>
      <c r="I18" s="1894" t="str" cm="1">
        <f t="array" ref="I18">IF(Control!$H$10=Control!$I$10, (INDEX('CT OM Costs'!$K$36:$O$67, MATCH($S18, 'CT OM Costs'!$D$36:$D$67, 0),I$10))/1000000, "-")</f>
        <v>-</v>
      </c>
      <c r="J18" s="1894" t="str" cm="1">
        <f t="array" ref="J18">IF(Control!$H$10=Control!$I$10, (INDEX('CT OM Costs'!$K$36:$O$67, MATCH($S18, 'CT OM Costs'!$D$36:$D$67, 0),J$10))/1000000, "-")</f>
        <v>-</v>
      </c>
      <c r="K18" s="1894"/>
      <c r="L18" s="1862" t="str" cm="1">
        <f t="array" ref="L18">IF(Control!$H$10=Control!$I$10, (INDEX('CT OM Costs'!$R$36:$V$67, MATCH($S18, 'CT OM Costs'!$D$36:$D$67, 0),L$10))/1000000, "-")</f>
        <v>-</v>
      </c>
      <c r="M18" s="1862" t="str" cm="1">
        <f t="array" ref="M18">IF(Control!$H$10=Control!$I$10, (INDEX('CT OM Costs'!$R$36:$V$67, MATCH($S18, 'CT OM Costs'!$D$36:$D$67, 0),M$10))/1000000, "-")</f>
        <v>-</v>
      </c>
      <c r="N18" s="1862" t="str" cm="1">
        <f t="array" ref="N18">IF(Control!$H$10=Control!$I$10, (INDEX('CT OM Costs'!$R$36:$V$67, MATCH($S18, 'CT OM Costs'!$D$36:$D$67, 0),N$10))/1000000, "-")</f>
        <v>-</v>
      </c>
      <c r="O18" s="1862" t="str" cm="1">
        <f t="array" ref="O18">IF(Control!$H$10=Control!$I$10, (INDEX('CT OM Costs'!$R$36:$V$67, MATCH($S18, 'CT OM Costs'!$D$36:$D$67, 0),O$10))/1000000, "-")</f>
        <v>-</v>
      </c>
      <c r="P18" s="1862" t="str" cm="1">
        <f t="array" ref="P18">IF(Control!$H$10=Control!$I$10, (INDEX('CT OM Costs'!$R$36:$V$67, MATCH($S18, 'CT OM Costs'!$D$36:$D$67, 0),P$10))/1000000, "-")</f>
        <v>-</v>
      </c>
      <c r="S18" s="66" t="str">
        <f>'CT OM Costs'!$D42</f>
        <v>Maintenance and Minor Repairs</v>
      </c>
      <c r="U18" s="993"/>
      <c r="V18" s="993"/>
    </row>
    <row r="19" spans="1:22" s="683" customFormat="1" ht="15" customHeight="1" x14ac:dyDescent="0.35">
      <c r="D19" s="1562" t="str">
        <f>'O&amp;M Costs - CT'!S19</f>
        <v>Administrative and General</v>
      </c>
      <c r="E19" s="1562"/>
      <c r="F19" s="1871" t="str" cm="1">
        <f t="array" ref="F19">IF(Control!$H$10=Control!$I$10, (INDEX('CT OM Costs'!$K$36:$O$67, MATCH($S19, 'CT OM Costs'!$D$36:$D$67, 0),F$10))/1000000, "-")</f>
        <v>-</v>
      </c>
      <c r="G19" s="1871" t="str" cm="1">
        <f t="array" ref="G19">IF(Control!$H$10=Control!$I$10, (INDEX('CT OM Costs'!$K$36:$O$67, MATCH($S19, 'CT OM Costs'!$D$36:$D$67, 0),G$10))/1000000, "-")</f>
        <v>-</v>
      </c>
      <c r="H19" s="1872" t="str" cm="1">
        <f t="array" ref="H19">IF(Control!$H$10=Control!$I$10, (INDEX('CT OM Costs'!$K$36:$O$67, MATCH($S19, 'CT OM Costs'!$D$36:$D$67, 0),H$10))/1000000, "-")</f>
        <v>-</v>
      </c>
      <c r="I19" s="1871" t="str" cm="1">
        <f t="array" ref="I19">IF(Control!$H$10=Control!$I$10, (INDEX('CT OM Costs'!$K$36:$O$67, MATCH($S19, 'CT OM Costs'!$D$36:$D$67, 0),I$10))/1000000, "-")</f>
        <v>-</v>
      </c>
      <c r="J19" s="1871" t="str" cm="1">
        <f t="array" ref="J19">IF(Control!$H$10=Control!$I$10, (INDEX('CT OM Costs'!$K$36:$O$67, MATCH($S19, 'CT OM Costs'!$D$36:$D$67, 0),J$10))/1000000, "-")</f>
        <v>-</v>
      </c>
      <c r="K19" s="1871"/>
      <c r="L19" s="1863" t="str" cm="1">
        <f t="array" ref="L19">IF(Control!$H$10=Control!$I$10, (INDEX('CT OM Costs'!$R$36:$V$67, MATCH($S19, 'CT OM Costs'!$D$36:$D$67, 0),L$10))/1000000, "-")</f>
        <v>-</v>
      </c>
      <c r="M19" s="1863" t="str" cm="1">
        <f t="array" ref="M19">IF(Control!$H$10=Control!$I$10, (INDEX('CT OM Costs'!$R$36:$V$67, MATCH($S19, 'CT OM Costs'!$D$36:$D$67, 0),M$10))/1000000, "-")</f>
        <v>-</v>
      </c>
      <c r="N19" s="1863" t="str" cm="1">
        <f t="array" ref="N19">IF(Control!$H$10=Control!$I$10, (INDEX('CT OM Costs'!$R$36:$V$67, MATCH($S19, 'CT OM Costs'!$D$36:$D$67, 0),N$10))/1000000, "-")</f>
        <v>-</v>
      </c>
      <c r="O19" s="1863" t="str" cm="1">
        <f t="array" ref="O19">IF(Control!$H$10=Control!$I$10, (INDEX('CT OM Costs'!$R$36:$V$67, MATCH($S19, 'CT OM Costs'!$D$36:$D$67, 0),O$10))/1000000, "-")</f>
        <v>-</v>
      </c>
      <c r="P19" s="1863" t="str" cm="1">
        <f t="array" ref="P19">IF(Control!$H$10=Control!$I$10, (INDEX('CT OM Costs'!$R$36:$V$67, MATCH($S19, 'CT OM Costs'!$D$36:$D$67, 0),P$10))/1000000, "-")</f>
        <v>-</v>
      </c>
      <c r="Q19" s="82"/>
      <c r="S19" s="66" t="str">
        <f>'CT OM Costs'!$D43</f>
        <v>Administrative and General</v>
      </c>
      <c r="U19" s="993"/>
      <c r="V19" s="993"/>
    </row>
    <row r="20" spans="1:22" s="683" customFormat="1" ht="15" customHeight="1" x14ac:dyDescent="0.35">
      <c r="D20" s="1864" t="str">
        <f>'O&amp;M Costs - CT'!S20</f>
        <v>Asset Management</v>
      </c>
      <c r="E20" s="1864"/>
      <c r="F20" s="1894" t="str" cm="1">
        <f t="array" ref="F20">IF(Control!$H$10=Control!$I$10, (INDEX('CT OM Costs'!$K$36:$O$67, MATCH($S20, 'CT OM Costs'!$D$36:$D$67, 0),F$10))/1000000, "-")</f>
        <v>-</v>
      </c>
      <c r="G20" s="1894" t="str" cm="1">
        <f t="array" ref="G20">IF(Control!$H$10=Control!$I$10, (INDEX('CT OM Costs'!$K$36:$O$67, MATCH($S20, 'CT OM Costs'!$D$36:$D$67, 0),G$10))/1000000, "-")</f>
        <v>-</v>
      </c>
      <c r="H20" s="2166" t="str" cm="1">
        <f t="array" ref="H20">IF(Control!$H$10=Control!$I$10, (INDEX('CT OM Costs'!$K$36:$O$67, MATCH($S20, 'CT OM Costs'!$D$36:$D$67, 0),H$10))/1000000, "-")</f>
        <v>-</v>
      </c>
      <c r="I20" s="1894" t="str" cm="1">
        <f t="array" ref="I20">IF(Control!$H$10=Control!$I$10, (INDEX('CT OM Costs'!$K$36:$O$67, MATCH($S20, 'CT OM Costs'!$D$36:$D$67, 0),I$10))/1000000, "-")</f>
        <v>-</v>
      </c>
      <c r="J20" s="1894" t="str" cm="1">
        <f t="array" ref="J20">IF(Control!$H$10=Control!$I$10, (INDEX('CT OM Costs'!$K$36:$O$67, MATCH($S20, 'CT OM Costs'!$D$36:$D$67, 0),J$10))/1000000, "-")</f>
        <v>-</v>
      </c>
      <c r="K20" s="1894"/>
      <c r="L20" s="1862" t="str" cm="1">
        <f t="array" ref="L20">IF(Control!$H$10=Control!$I$10, (INDEX('CT OM Costs'!$R$36:$V$67, MATCH($S20, 'CT OM Costs'!$D$36:$D$67, 0),L$10))/1000000, "-")</f>
        <v>-</v>
      </c>
      <c r="M20" s="1862" t="str" cm="1">
        <f t="array" ref="M20">IF(Control!$H$10=Control!$I$10, (INDEX('CT OM Costs'!$R$36:$V$67, MATCH($S20, 'CT OM Costs'!$D$36:$D$67, 0),M$10))/1000000, "-")</f>
        <v>-</v>
      </c>
      <c r="N20" s="1862" t="str" cm="1">
        <f t="array" ref="N20">IF(Control!$H$10=Control!$I$10, (INDEX('CT OM Costs'!$R$36:$V$67, MATCH($S20, 'CT OM Costs'!$D$36:$D$67, 0),N$10))/1000000, "-")</f>
        <v>-</v>
      </c>
      <c r="O20" s="1862" t="str" cm="1">
        <f t="array" ref="O20">IF(Control!$H$10=Control!$I$10, (INDEX('CT OM Costs'!$R$36:$V$67, MATCH($S20, 'CT OM Costs'!$D$36:$D$67, 0),O$10))/1000000, "-")</f>
        <v>-</v>
      </c>
      <c r="P20" s="1862" t="str" cm="1">
        <f t="array" ref="P20">IF(Control!$H$10=Control!$I$10, (INDEX('CT OM Costs'!$R$36:$V$67, MATCH($S20, 'CT OM Costs'!$D$36:$D$67, 0),P$10))/1000000, "-")</f>
        <v>-</v>
      </c>
      <c r="Q20" s="82"/>
      <c r="S20" s="66" t="str">
        <f>'CT OM Costs'!$D44</f>
        <v>Asset Management</v>
      </c>
      <c r="U20" s="993"/>
      <c r="V20" s="993"/>
    </row>
    <row r="21" spans="1:22" ht="15" customHeight="1" x14ac:dyDescent="0.35">
      <c r="B21" s="1520"/>
      <c r="D21" s="1562" t="str">
        <f>'O&amp;M Costs - CT'!S21</f>
        <v>Property Taxes</v>
      </c>
      <c r="E21" s="1562"/>
      <c r="F21" s="1871" t="str" cm="1">
        <f t="array" ref="F21">IF(Control!$H$10=Control!$I$10, (INDEX('CT OM Costs'!$K$36:$O$67, MATCH($S21, 'CT OM Costs'!$D$36:$D$67, 0),F$10))/1000000, "-")</f>
        <v>-</v>
      </c>
      <c r="G21" s="1871" t="str" cm="1">
        <f t="array" ref="G21">IF(Control!$H$10=Control!$I$10, (INDEX('CT OM Costs'!$K$36:$O$67, MATCH($S21, 'CT OM Costs'!$D$36:$D$67, 0),G$10))/1000000, "-")</f>
        <v>-</v>
      </c>
      <c r="H21" s="1872" t="str" cm="1">
        <f t="array" ref="H21">IF(Control!$H$10=Control!$I$10, (INDEX('CT OM Costs'!$K$36:$O$67, MATCH($S21, 'CT OM Costs'!$D$36:$D$67, 0),H$10))/1000000, "-")</f>
        <v>-</v>
      </c>
      <c r="I21" s="1871" t="str" cm="1">
        <f t="array" ref="I21">IF(Control!$H$10=Control!$I$10, (INDEX('CT OM Costs'!$K$36:$O$67, MATCH($S21, 'CT OM Costs'!$D$36:$D$67, 0),I$10))/1000000, "-")</f>
        <v>-</v>
      </c>
      <c r="J21" s="1871" t="str" cm="1">
        <f t="array" ref="J21">IF(Control!$H$10=Control!$I$10, (INDEX('CT OM Costs'!$K$36:$O$67, MATCH($S21, 'CT OM Costs'!$D$36:$D$67, 0),J$10))/1000000, "-")</f>
        <v>-</v>
      </c>
      <c r="K21" s="1871"/>
      <c r="L21" s="1863" t="str" cm="1">
        <f t="array" ref="L21">IF(Control!$H$10=Control!$I$10, (INDEX('CT OM Costs'!$R$36:$V$67, MATCH($S21, 'CT OM Costs'!$D$36:$D$67, 0),L$10))/1000000, "-")</f>
        <v>-</v>
      </c>
      <c r="M21" s="1863" t="str" cm="1">
        <f t="array" ref="M21">IF(Control!$H$10=Control!$I$10, (INDEX('CT OM Costs'!$R$36:$V$67, MATCH($S21, 'CT OM Costs'!$D$36:$D$67, 0),M$10))/1000000, "-")</f>
        <v>-</v>
      </c>
      <c r="N21" s="1863" t="str" cm="1">
        <f t="array" ref="N21">IF(Control!$H$10=Control!$I$10, (INDEX('CT OM Costs'!$R$36:$V$67, MATCH($S21, 'CT OM Costs'!$D$36:$D$67, 0),N$10))/1000000, "-")</f>
        <v>-</v>
      </c>
      <c r="O21" s="1863" t="str" cm="1">
        <f t="array" ref="O21">IF(Control!$H$10=Control!$I$10, (INDEX('CT OM Costs'!$R$36:$V$67, MATCH($S21, 'CT OM Costs'!$D$36:$D$67, 0),O$10))/1000000, "-")</f>
        <v>-</v>
      </c>
      <c r="P21" s="1863" t="str" cm="1">
        <f t="array" ref="P21">IF(Control!$H$10=Control!$I$10, (INDEX('CT OM Costs'!$R$36:$V$67, MATCH($S21, 'CT OM Costs'!$D$36:$D$67, 0),P$10))/1000000, "-")</f>
        <v>-</v>
      </c>
      <c r="S21" s="66" t="str">
        <f>'CT OM Costs'!$D46</f>
        <v>Property Taxes</v>
      </c>
      <c r="U21" s="993"/>
      <c r="V21" s="993"/>
    </row>
    <row r="22" spans="1:22" ht="15" customHeight="1" x14ac:dyDescent="0.35">
      <c r="D22" s="1864" t="str">
        <f>'O&amp;M Costs - CT'!S22</f>
        <v>Insurance</v>
      </c>
      <c r="E22" s="1864"/>
      <c r="F22" s="1894" t="str" cm="1">
        <f t="array" ref="F22">IF(Control!$H$10=Control!$I$10, (INDEX('CT OM Costs'!$K$36:$O$67, MATCH($S22, 'CT OM Costs'!$D$36:$D$67, 0),F$10))/1000000, "-")</f>
        <v>-</v>
      </c>
      <c r="G22" s="1894" t="str" cm="1">
        <f t="array" ref="G22">IF(Control!$H$10=Control!$I$10, (INDEX('CT OM Costs'!$K$36:$O$67, MATCH($S22, 'CT OM Costs'!$D$36:$D$67, 0),G$10))/1000000, "-")</f>
        <v>-</v>
      </c>
      <c r="H22" s="2166" t="str" cm="1">
        <f t="array" ref="H22">IF(Control!$H$10=Control!$I$10, (INDEX('CT OM Costs'!$K$36:$O$67, MATCH($S22, 'CT OM Costs'!$D$36:$D$67, 0),H$10))/1000000, "-")</f>
        <v>-</v>
      </c>
      <c r="I22" s="1894" t="str" cm="1">
        <f t="array" ref="I22">IF(Control!$H$10=Control!$I$10, (INDEX('CT OM Costs'!$K$36:$O$67, MATCH($S22, 'CT OM Costs'!$D$36:$D$67, 0),I$10))/1000000, "-")</f>
        <v>-</v>
      </c>
      <c r="J22" s="1894" t="str" cm="1">
        <f t="array" ref="J22">IF(Control!$H$10=Control!$I$10, (INDEX('CT OM Costs'!$K$36:$O$67, MATCH($S22, 'CT OM Costs'!$D$36:$D$67, 0),J$10))/1000000, "-")</f>
        <v>-</v>
      </c>
      <c r="K22" s="1894"/>
      <c r="L22" s="1862" t="str" cm="1">
        <f t="array" ref="L22">IF(Control!$H$10=Control!$I$10, (INDEX('CT OM Costs'!$R$36:$V$67, MATCH($S22, 'CT OM Costs'!$D$36:$D$67, 0),L$10))/1000000, "-")</f>
        <v>-</v>
      </c>
      <c r="M22" s="1862" t="str" cm="1">
        <f t="array" ref="M22">IF(Control!$H$10=Control!$I$10, (INDEX('CT OM Costs'!$R$36:$V$67, MATCH($S22, 'CT OM Costs'!$D$36:$D$67, 0),M$10))/1000000, "-")</f>
        <v>-</v>
      </c>
      <c r="N22" s="1862" t="str" cm="1">
        <f t="array" ref="N22">IF(Control!$H$10=Control!$I$10, (INDEX('CT OM Costs'!$R$36:$V$67, MATCH($S22, 'CT OM Costs'!$D$36:$D$67, 0),N$10))/1000000, "-")</f>
        <v>-</v>
      </c>
      <c r="O22" s="1862" t="str" cm="1">
        <f t="array" ref="O22">IF(Control!$H$10=Control!$I$10, (INDEX('CT OM Costs'!$R$36:$V$67, MATCH($S22, 'CT OM Costs'!$D$36:$D$67, 0),O$10))/1000000, "-")</f>
        <v>-</v>
      </c>
      <c r="P22" s="1862" t="str" cm="1">
        <f t="array" ref="P22">IF(Control!$H$10=Control!$I$10, (INDEX('CT OM Costs'!$R$36:$V$67, MATCH($S22, 'CT OM Costs'!$D$36:$D$67, 0),P$10))/1000000, "-")</f>
        <v>-</v>
      </c>
      <c r="S22" s="66" t="str">
        <f>'CT OM Costs'!$D45</f>
        <v>Insurance</v>
      </c>
      <c r="U22" s="993"/>
      <c r="V22" s="993"/>
    </row>
    <row r="23" spans="1:22" ht="15" customHeight="1" x14ac:dyDescent="0.35">
      <c r="A23" s="83"/>
      <c r="B23" s="83"/>
      <c r="C23" s="83"/>
      <c r="D23" s="1562" t="str">
        <f>'O&amp;M Costs - CT'!S23</f>
        <v>Interest on Working Capital</v>
      </c>
      <c r="E23" s="1562"/>
      <c r="F23" s="1871" t="str" cm="1">
        <f t="array" ref="F23">IF(Control!$H$10=Control!$I$10, (INDEX('CT OM Costs'!$K$36:$O$67, MATCH($S23, 'CT OM Costs'!$D$36:$D$67, 0),F$10))/1000000, "-")</f>
        <v>-</v>
      </c>
      <c r="G23" s="1871" t="str" cm="1">
        <f t="array" ref="G23">IF(Control!$H$10=Control!$I$10, (INDEX('CT OM Costs'!$K$36:$O$67, MATCH($S23, 'CT OM Costs'!$D$36:$D$67, 0),G$10))/1000000, "-")</f>
        <v>-</v>
      </c>
      <c r="H23" s="1872" t="str" cm="1">
        <f t="array" ref="H23">IF(Control!$H$10=Control!$I$10, (INDEX('CT OM Costs'!$K$36:$O$67, MATCH($S23, 'CT OM Costs'!$D$36:$D$67, 0),H$10))/1000000, "-")</f>
        <v>-</v>
      </c>
      <c r="I23" s="1871" t="str" cm="1">
        <f t="array" ref="I23">IF(Control!$H$10=Control!$I$10, (INDEX('CT OM Costs'!$K$36:$O$67, MATCH($S23, 'CT OM Costs'!$D$36:$D$67, 0),I$10))/1000000, "-")</f>
        <v>-</v>
      </c>
      <c r="J23" s="1871" t="str" cm="1">
        <f t="array" ref="J23">IF(Control!$H$10=Control!$I$10, (INDEX('CT OM Costs'!$K$36:$O$67, MATCH($S23, 'CT OM Costs'!$D$36:$D$67, 0),J$10))/1000000, "-")</f>
        <v>-</v>
      </c>
      <c r="K23" s="1871"/>
      <c r="L23" s="1863" t="str" cm="1">
        <f t="array" ref="L23">IF(Control!$H$10=Control!$I$10, (INDEX('CT OM Costs'!$R$36:$V$67, MATCH($S23, 'CT OM Costs'!$D$36:$D$67, 0),L$10))/1000000, "-")</f>
        <v>-</v>
      </c>
      <c r="M23" s="1863" t="str" cm="1">
        <f t="array" ref="M23">IF(Control!$H$10=Control!$I$10, (INDEX('CT OM Costs'!$R$36:$V$67, MATCH($S23, 'CT OM Costs'!$D$36:$D$67, 0),M$10))/1000000, "-")</f>
        <v>-</v>
      </c>
      <c r="N23" s="1863" t="str" cm="1">
        <f t="array" ref="N23">IF(Control!$H$10=Control!$I$10, (INDEX('CT OM Costs'!$R$36:$V$67, MATCH($S23, 'CT OM Costs'!$D$36:$D$67, 0),N$10))/1000000, "-")</f>
        <v>-</v>
      </c>
      <c r="O23" s="1863" t="str" cm="1">
        <f t="array" ref="O23">IF(Control!$H$10=Control!$I$10, (INDEX('CT OM Costs'!$R$36:$V$67, MATCH($S23, 'CT OM Costs'!$D$36:$D$67, 0),O$10))/1000000, "-")</f>
        <v>-</v>
      </c>
      <c r="P23" s="1863" t="str" cm="1">
        <f t="array" ref="P23">IF(Control!$H$10=Control!$I$10, (INDEX('CT OM Costs'!$R$36:$V$67, MATCH($S23, 'CT OM Costs'!$D$36:$D$67, 0),P$10))/1000000, "-")</f>
        <v>-</v>
      </c>
      <c r="S23" s="66" t="str">
        <f>'CT OM Costs'!$D47</f>
        <v>Interest on Working Capital</v>
      </c>
      <c r="U23" s="993"/>
      <c r="V23" s="993"/>
    </row>
    <row r="24" spans="1:22" ht="6" customHeight="1" x14ac:dyDescent="0.35">
      <c r="A24" s="83"/>
      <c r="B24" s="83"/>
      <c r="C24" s="83"/>
      <c r="D24" s="1442"/>
      <c r="E24" s="1442"/>
      <c r="F24" s="1519"/>
      <c r="G24" s="1519"/>
      <c r="H24" s="1517"/>
      <c r="I24" s="1519"/>
      <c r="J24" s="1519"/>
      <c r="K24" s="1519"/>
      <c r="L24" s="1518"/>
      <c r="M24" s="1518"/>
      <c r="N24" s="1518"/>
      <c r="O24" s="1518"/>
      <c r="P24" s="1518"/>
      <c r="S24" s="66"/>
      <c r="U24" s="993"/>
      <c r="V24" s="993"/>
    </row>
    <row r="25" spans="1:22" s="1498" customFormat="1" ht="15" customHeight="1" x14ac:dyDescent="0.35">
      <c r="D25" s="1304" t="s">
        <v>492</v>
      </c>
      <c r="E25" s="64"/>
      <c r="F25" s="1347" t="str">
        <f>IF(Control!$H$10=Control!$I$10,SUM(F16:F23),"-")</f>
        <v>-</v>
      </c>
      <c r="G25" s="1347" t="str">
        <f>IF(Control!$H$10=Control!$I$10,SUM(G16:G23),"-")</f>
        <v>-</v>
      </c>
      <c r="H25" s="1858" t="str">
        <f>IF(Control!$H$10=Control!$I$10,SUM(H16:H23),"-")</f>
        <v>-</v>
      </c>
      <c r="I25" s="1347" t="str">
        <f>IF(Control!$H$10=Control!$I$10,SUM(I16:I23),"-")</f>
        <v>-</v>
      </c>
      <c r="J25" s="1347" t="str">
        <f>IF(Control!$H$10=Control!$I$10,SUM(J16:J23),"-")</f>
        <v>-</v>
      </c>
      <c r="K25" s="1347"/>
      <c r="L25" s="1857" t="str">
        <f>IF(Control!$H$10=Control!$I$10,SUM(L16:L23),"-")</f>
        <v>-</v>
      </c>
      <c r="M25" s="1857" t="str">
        <f>IF(Control!$H$10=Control!$I$10,SUM(M16:M23),"-")</f>
        <v>-</v>
      </c>
      <c r="N25" s="1857" t="str">
        <f>IF(Control!$H$10=Control!$I$10,SUM(N16:N23),"-")</f>
        <v>-</v>
      </c>
      <c r="O25" s="1857" t="str">
        <f>IF(Control!$H$10=Control!$I$10,SUM(O16:O23),"-")</f>
        <v>-</v>
      </c>
      <c r="P25" s="1857" t="str">
        <f>IF(Control!$H$10=Control!$I$10,SUM(P16:P23),"-")</f>
        <v>-</v>
      </c>
      <c r="Q25" s="82"/>
      <c r="S25" s="66"/>
      <c r="U25" s="993"/>
      <c r="V25" s="993"/>
    </row>
    <row r="26" spans="1:22" s="1498" customFormat="1" ht="15" customHeight="1" x14ac:dyDescent="0.35">
      <c r="D26" s="1597" t="s">
        <v>558</v>
      </c>
      <c r="E26" s="1297"/>
      <c r="F26" s="1522" t="str">
        <f>IF(Control!$H$10=Control!$I$10,(F25*10^6)/(F12*10^3),"-")</f>
        <v>-</v>
      </c>
      <c r="G26" s="1522" t="str">
        <f>IF(Control!$H$10=Control!$I$10,(G25*10^6)/(G12*10^3),"-")</f>
        <v>-</v>
      </c>
      <c r="H26" s="1523" t="str">
        <f>IF(Control!$H$10=Control!$I$10,(H25*10^6)/(H12*10^3),"-")</f>
        <v>-</v>
      </c>
      <c r="I26" s="1522" t="str">
        <f>IF(Control!$H$10=Control!$I$10,(I25*10^6)/(I12*10^3),"-")</f>
        <v>-</v>
      </c>
      <c r="J26" s="1522" t="str">
        <f>IF(Control!$H$10=Control!$I$10,(J25*10^6)/(J12*10^3),"-")</f>
        <v>-</v>
      </c>
      <c r="K26" s="1522"/>
      <c r="L26" s="1521" t="str">
        <f>IF(Control!$H$10=Control!$I$10,(L25*10^6)/(L12*10^3),"-")</f>
        <v>-</v>
      </c>
      <c r="M26" s="1521" t="str">
        <f>IF(Control!$H$10=Control!$I$10,(M25*10^6)/(M12*10^3),"-")</f>
        <v>-</v>
      </c>
      <c r="N26" s="1521" t="str">
        <f>IF(Control!$H$10=Control!$I$10,(N25*10^6)/(N12*10^3),"-")</f>
        <v>-</v>
      </c>
      <c r="O26" s="1521" t="str">
        <f>IF(Control!$H$10=Control!$I$10,(O25*10^6)/(O12*10^3),"-")</f>
        <v>-</v>
      </c>
      <c r="P26" s="1521" t="str">
        <f>IF(Control!$H$10=Control!$I$10,(P25*10^6)/(P12*10^3),"-")</f>
        <v>-</v>
      </c>
      <c r="Q26" s="82"/>
      <c r="S26" s="66"/>
      <c r="U26" s="993"/>
      <c r="V26" s="993"/>
    </row>
    <row r="27" spans="1:22" s="1498" customFormat="1" ht="15" customHeight="1" x14ac:dyDescent="0.35">
      <c r="D27" s="1304" t="s">
        <v>555</v>
      </c>
      <c r="E27" s="64"/>
      <c r="F27" s="1314" t="str">
        <f>IF(Control!$H$10=Control!$I$10,L27/(1+'CT OM Costs'!$H$19),"-")</f>
        <v>-</v>
      </c>
      <c r="G27" s="1314" t="str">
        <f>IF(Control!$H$10=Control!$I$10,M27/(1+'CT OM Costs'!$H$19),"-")</f>
        <v>-</v>
      </c>
      <c r="H27" s="1860" t="str">
        <f>IF(Control!$H$10=Control!$I$10,N27/(1+'CT OM Costs'!$H$19),"-")</f>
        <v>-</v>
      </c>
      <c r="I27" s="1343" t="str">
        <f>IF(Control!$H$10=Control!$I$10,O27/(1+'CT OM Costs'!$H$19),"-")</f>
        <v>-</v>
      </c>
      <c r="J27" s="1314" t="str">
        <f>IF(Control!$H$10=Control!$I$10,P27/(1+'CT OM Costs'!$H$19),"-")</f>
        <v>-</v>
      </c>
      <c r="K27" s="961"/>
      <c r="L27" s="1861" t="str">
        <f>IF(Control!$H$10=Control!$I$10, _xlfn.XLOOKUP(L$11,Control!$I$79:$M$79,Control!$I$89:$M$89), "-")</f>
        <v>-</v>
      </c>
      <c r="M27" s="1861" t="str">
        <f>IF(Control!$H$10=Control!$I$10, _xlfn.XLOOKUP(M$11,Control!$I$79:$M$79,Control!$I$89:$M$89), "-")</f>
        <v>-</v>
      </c>
      <c r="N27" s="1861" t="str">
        <f>IF(Control!$H$10=Control!$I$10, _xlfn.XLOOKUP(N$11,Control!$I$79:$M$79,Control!$I$89:$M$89), "-")</f>
        <v>-</v>
      </c>
      <c r="O27" s="2172" t="str">
        <f>IF(Control!$H$10=Control!$I$10, _xlfn.XLOOKUP(O$11,Control!$I$79:$M$79,Control!$I$89:$M$89), "-")</f>
        <v>-</v>
      </c>
      <c r="P27" s="1861" t="str">
        <f>IF(Control!$H$10=Control!$I$10, _xlfn.XLOOKUP(P$11,Control!$I$79:$M$79,Control!$I$89:$M$89), "-")</f>
        <v>-</v>
      </c>
      <c r="Q27" s="82"/>
      <c r="S27" s="66"/>
      <c r="U27" s="993"/>
      <c r="V27" s="993"/>
    </row>
    <row r="28" spans="1:22" ht="6" customHeight="1" x14ac:dyDescent="0.35">
      <c r="D28" s="1297"/>
      <c r="E28" s="1297"/>
      <c r="F28" s="1526"/>
      <c r="G28" s="1526"/>
      <c r="H28" s="1527"/>
      <c r="I28" s="1526"/>
      <c r="J28" s="1526"/>
      <c r="K28" s="1528"/>
      <c r="L28" s="1525"/>
      <c r="M28" s="1525"/>
      <c r="N28" s="1525"/>
      <c r="O28" s="1525"/>
      <c r="P28" s="1525"/>
    </row>
    <row r="29" spans="1:22" ht="15" customHeight="1" x14ac:dyDescent="0.35">
      <c r="D29" s="1657" t="s">
        <v>407</v>
      </c>
      <c r="E29" s="999"/>
      <c r="F29" s="1001"/>
      <c r="G29" s="947"/>
      <c r="H29" s="1312"/>
      <c r="I29" s="947"/>
      <c r="J29" s="947"/>
      <c r="K29" s="969"/>
      <c r="L29" s="974"/>
      <c r="M29" s="974"/>
      <c r="N29" s="974"/>
      <c r="O29" s="974"/>
      <c r="P29" s="974"/>
    </row>
    <row r="30" spans="1:22" ht="15" customHeight="1" x14ac:dyDescent="0.35">
      <c r="D30" s="1864" t="s">
        <v>567</v>
      </c>
      <c r="E30" s="1865"/>
      <c r="F30" s="1866" t="str" cm="1">
        <f t="array" ref="F30">IF(Control!$H$10=Control!$I$10, (INDEX('CT OM Costs'!$K$55:$O$56, MATCH($S30, 'CT OM Costs'!$D$55:$D$56, 0),F$10)), "-")</f>
        <v>-</v>
      </c>
      <c r="G30" s="1866" t="str" cm="1">
        <f t="array" ref="G30">IF(Control!$H$10=Control!$I$10, (INDEX('CT OM Costs'!$K$55:$O$56, MATCH($S30, 'CT OM Costs'!$D$55:$D$56, 0),G$10)), "-")</f>
        <v>-</v>
      </c>
      <c r="H30" s="1867" t="str" cm="1">
        <f t="array" ref="H30">IF(Control!$H$10=Control!$I$10, (INDEX('CT OM Costs'!$K$55:$O$56, MATCH($S30, 'CT OM Costs'!$D$55:$D$56, 0),H$10)), "-")</f>
        <v>-</v>
      </c>
      <c r="I30" s="1866" t="str" cm="1">
        <f t="array" ref="I30">IF(Control!$H$10=Control!$I$10, (INDEX('CT OM Costs'!$K$55:$O$56, MATCH($S30, 'CT OM Costs'!$D$55:$D$56, 0),I$10)), "-")</f>
        <v>-</v>
      </c>
      <c r="J30" s="1866" t="str" cm="1">
        <f t="array" ref="J30">IF(Control!$H$10=Control!$I$10, (INDEX('CT OM Costs'!$K$55:$O$56, MATCH($S30, 'CT OM Costs'!$D$55:$D$56, 0),J$10)), "-")</f>
        <v>-</v>
      </c>
      <c r="K30" s="1868"/>
      <c r="L30" s="1869" t="str" cm="1">
        <f t="array" ref="L30">IF(Control!$H$10=Control!$I$10, (INDEX('CT OM Costs'!$R$55:$V$56, MATCH($S30, 'CT OM Costs'!$D$55:$D$56, 0),L$10)), "-")</f>
        <v>-</v>
      </c>
      <c r="M30" s="1869" t="str" cm="1">
        <f t="array" ref="M30">IF(Control!$H$10=Control!$I$10, (INDEX('CT OM Costs'!$R$55:$V$56, MATCH($S30, 'CT OM Costs'!$D$55:$D$56, 0),M$10)), "-")</f>
        <v>-</v>
      </c>
      <c r="N30" s="1869" t="str" cm="1">
        <f t="array" ref="N30">IF(Control!$H$10=Control!$I$10, (INDEX('CT OM Costs'!$R$55:$V$56, MATCH($S30, 'CT OM Costs'!$D$55:$D$56, 0),N$10)), "-")</f>
        <v>-</v>
      </c>
      <c r="O30" s="1869" t="str" cm="1">
        <f t="array" ref="O30">IF(Control!$H$10=Control!$I$10, (INDEX('CT OM Costs'!$R$55:$V$56, MATCH($S30, 'CT OM Costs'!$D$55:$D$56, 0),O$10)), "-")</f>
        <v>-</v>
      </c>
      <c r="P30" s="1869" t="str" cm="1">
        <f t="array" ref="P30">IF(Control!$H$10=Control!$I$10, (INDEX('CT OM Costs'!$R$55:$V$56, MATCH($S30, 'CT OM Costs'!$D$55:$D$56, 0),P$10)), "-")</f>
        <v>-</v>
      </c>
      <c r="Q30" s="31"/>
      <c r="S30" s="143" t="str">
        <f>'CT OM Costs'!$D$55</f>
        <v>Major Maintenance - Starts Based</v>
      </c>
    </row>
    <row r="31" spans="1:22" ht="15" customHeight="1" x14ac:dyDescent="0.35">
      <c r="D31" s="1562" t="s">
        <v>568</v>
      </c>
      <c r="E31" s="683"/>
      <c r="F31" s="1871" t="str" cm="1">
        <f t="array" ref="F31">IF(Control!$H$10=Control!$I$10, (INDEX('CT OM Costs'!$K$56:$O$57, MATCH($S31, 'CT OM Costs'!$D$56:$D$57, 0),F$10)), "-")</f>
        <v>-</v>
      </c>
      <c r="G31" s="1871" t="str" cm="1">
        <f t="array" ref="G31">IF(Control!$H$10=Control!$I$10, (INDEX('CT OM Costs'!$K$56:$O$57, MATCH($S31, 'CT OM Costs'!$D$56:$D$57, 0),G$10)), "-")</f>
        <v>-</v>
      </c>
      <c r="H31" s="1872" t="str" cm="1">
        <f t="array" ref="H31">IF(Control!$H$10=Control!$I$10, (INDEX('CT OM Costs'!$K$56:$O$57, MATCH($S31, 'CT OM Costs'!$D$56:$D$57, 0),H$10)), "-")</f>
        <v>-</v>
      </c>
      <c r="I31" s="1871" t="str" cm="1">
        <f t="array" ref="I31">IF(Control!$H$10=Control!$I$10, (INDEX('CT OM Costs'!$K$56:$O$57, MATCH($S31, 'CT OM Costs'!$D$56:$D$57, 0),I$10)), "-")</f>
        <v>-</v>
      </c>
      <c r="J31" s="1871" t="str" cm="1">
        <f t="array" ref="J31">IF(Control!$H$10=Control!$I$10, (INDEX('CT OM Costs'!$K$56:$O$57, MATCH($S31, 'CT OM Costs'!$D$56:$D$57, 0),J$10)), "-")</f>
        <v>-</v>
      </c>
      <c r="K31" s="1871"/>
      <c r="L31" s="1863" t="str" cm="1">
        <f t="array" ref="L31">IF(Control!$H$10=Control!$I$10, (INDEX('CT OM Costs'!$R$56:$V$57, MATCH($S31, 'CT OM Costs'!$D$56:$D$57, 0),L$10)), "-")</f>
        <v>-</v>
      </c>
      <c r="M31" s="1863" t="str" cm="1">
        <f t="array" ref="M31">IF(Control!$H$10=Control!$I$10, (INDEX('CT OM Costs'!$R$56:$V$57, MATCH($S31, 'CT OM Costs'!$D$56:$D$57, 0),M$10)), "-")</f>
        <v>-</v>
      </c>
      <c r="N31" s="1863" t="str" cm="1">
        <f t="array" ref="N31">IF(Control!$H$10=Control!$I$10, (INDEX('CT OM Costs'!$R$56:$V$57, MATCH($S31, 'CT OM Costs'!$D$56:$D$57, 0),N$10)), "-")</f>
        <v>-</v>
      </c>
      <c r="O31" s="1863" t="str" cm="1">
        <f t="array" ref="O31">IF(Control!$H$10=Control!$I$10, (INDEX('CT OM Costs'!$R$56:$V$57, MATCH($S31, 'CT OM Costs'!$D$56:$D$57, 0),O$10)), "-")</f>
        <v>-</v>
      </c>
      <c r="P31" s="1863" t="str" cm="1">
        <f t="array" ref="P31">IF(Control!$H$10=Control!$I$10, (INDEX('CT OM Costs'!$R$56:$V$57, MATCH($S31, 'CT OM Costs'!$D$56:$D$57, 0),P$10)), "-")</f>
        <v>-</v>
      </c>
      <c r="Q31" s="31"/>
      <c r="S31" s="65" t="str">
        <f>'CT OM Costs'!$D$56</f>
        <v>Consumables</v>
      </c>
    </row>
    <row r="32" spans="1:22" ht="6" customHeight="1" thickBot="1" x14ac:dyDescent="0.4">
      <c r="D32" s="686"/>
      <c r="E32" s="686"/>
      <c r="F32" s="1529"/>
      <c r="G32" s="1529"/>
      <c r="H32" s="1529"/>
      <c r="I32" s="1529"/>
      <c r="J32" s="1529"/>
      <c r="K32" s="1530"/>
      <c r="L32" s="1529"/>
      <c r="M32" s="1529"/>
      <c r="N32" s="1529"/>
      <c r="O32" s="1529"/>
      <c r="P32" s="1529"/>
    </row>
    <row r="33" spans="2:19" ht="6" customHeight="1" thickTop="1" x14ac:dyDescent="0.35">
      <c r="D33" s="683"/>
      <c r="E33" s="683"/>
      <c r="F33" s="753"/>
      <c r="G33" s="753"/>
      <c r="H33" s="753"/>
      <c r="I33" s="753"/>
      <c r="J33" s="753"/>
      <c r="K33" s="1507"/>
      <c r="L33" s="753"/>
      <c r="M33" s="753"/>
      <c r="N33" s="753"/>
      <c r="O33" s="753"/>
      <c r="P33" s="753"/>
    </row>
    <row r="34" spans="2:19" ht="15" customHeight="1" x14ac:dyDescent="0.35">
      <c r="D34" s="1397" t="s">
        <v>683</v>
      </c>
      <c r="E34" s="1531"/>
      <c r="F34" s="1531"/>
      <c r="G34" s="1531"/>
      <c r="H34" s="1531"/>
      <c r="I34" s="1531"/>
      <c r="J34" s="1531"/>
      <c r="K34" s="1531"/>
      <c r="L34" s="1531"/>
      <c r="M34" s="1532"/>
      <c r="N34" s="1533"/>
      <c r="O34" s="1531"/>
      <c r="P34" s="1531"/>
    </row>
    <row r="35" spans="2:19" ht="15" customHeight="1" x14ac:dyDescent="0.35">
      <c r="B35" s="82"/>
      <c r="C35" s="82"/>
      <c r="D35" s="82"/>
      <c r="E35" s="82"/>
      <c r="F35" s="82"/>
      <c r="G35" s="82"/>
      <c r="H35" s="82"/>
      <c r="I35" s="82"/>
      <c r="J35" s="82"/>
      <c r="K35" s="326"/>
      <c r="L35" s="82"/>
      <c r="M35" s="82"/>
      <c r="N35" s="82"/>
      <c r="O35" s="82"/>
      <c r="P35" s="82"/>
      <c r="S35" s="94"/>
    </row>
    <row r="36" spans="2:19" ht="15" customHeight="1" x14ac:dyDescent="0.35">
      <c r="B36" s="82"/>
      <c r="C36" s="82"/>
      <c r="D36" s="82"/>
      <c r="E36" s="82"/>
      <c r="F36" s="82"/>
      <c r="G36" s="82"/>
      <c r="H36" s="82"/>
      <c r="I36" s="82"/>
      <c r="J36" s="82"/>
      <c r="K36" s="326"/>
      <c r="L36" s="82"/>
      <c r="M36" s="82"/>
      <c r="N36" s="82"/>
      <c r="O36" s="82"/>
      <c r="P36" s="82"/>
      <c r="S36" s="94"/>
    </row>
    <row r="37" spans="2:19" ht="15" customHeight="1" x14ac:dyDescent="0.35">
      <c r="D37" s="692"/>
      <c r="E37" s="692"/>
      <c r="F37" s="1534"/>
      <c r="G37" s="1534"/>
      <c r="H37" s="1534"/>
      <c r="I37" s="1534"/>
      <c r="J37" s="1534"/>
      <c r="K37" s="1535"/>
      <c r="L37" s="1534"/>
      <c r="M37" s="1534"/>
      <c r="N37" s="1534"/>
      <c r="O37" s="1534"/>
      <c r="P37" s="1534"/>
    </row>
    <row r="38" spans="2:19" ht="15" customHeight="1" x14ac:dyDescent="0.35">
      <c r="D38" s="692"/>
      <c r="E38" s="692"/>
      <c r="F38" s="1536"/>
      <c r="G38" s="1536"/>
      <c r="H38" s="1536"/>
      <c r="I38" s="1536"/>
      <c r="J38" s="1536"/>
      <c r="K38" s="1537"/>
      <c r="L38" s="1536"/>
      <c r="M38" s="1536"/>
      <c r="N38" s="1536"/>
      <c r="O38" s="1536"/>
      <c r="P38" s="1536"/>
    </row>
    <row r="39" spans="2:19" ht="15" customHeight="1" x14ac:dyDescent="0.35">
      <c r="D39" s="1538"/>
      <c r="E39" s="1538"/>
      <c r="K39" s="1505"/>
    </row>
    <row r="40" spans="2:19" ht="15" customHeight="1" x14ac:dyDescent="0.35">
      <c r="K40" s="1505"/>
    </row>
    <row r="41" spans="2:19" ht="15" customHeight="1" x14ac:dyDescent="0.35">
      <c r="K41" s="1505"/>
    </row>
    <row r="42" spans="2:19" ht="15" customHeight="1" x14ac:dyDescent="0.35">
      <c r="K42" s="1505"/>
    </row>
    <row r="43" spans="2:19" ht="15" customHeight="1" x14ac:dyDescent="0.35">
      <c r="D43" s="1539"/>
      <c r="E43" s="1539"/>
      <c r="K43" s="1505"/>
    </row>
    <row r="44" spans="2:19" ht="15" customHeight="1" x14ac:dyDescent="0.35">
      <c r="D44" s="1539"/>
      <c r="E44" s="1539"/>
      <c r="K44" s="1505"/>
    </row>
    <row r="45" spans="2:19" ht="15" customHeight="1" x14ac:dyDescent="0.35">
      <c r="K45" s="1505"/>
    </row>
    <row r="46" spans="2:19" ht="15" customHeight="1" x14ac:dyDescent="0.35">
      <c r="K46" s="1505"/>
    </row>
    <row r="47" spans="2:19" ht="15" customHeight="1" x14ac:dyDescent="0.35">
      <c r="K47" s="1505"/>
    </row>
    <row r="48" spans="2:19" ht="15" customHeight="1" x14ac:dyDescent="0.35">
      <c r="K48" s="1505"/>
    </row>
    <row r="49" spans="4:96" s="32" customFormat="1" ht="15" customHeight="1" x14ac:dyDescent="0.35">
      <c r="D49" s="31"/>
      <c r="E49" s="31"/>
      <c r="K49" s="1505"/>
      <c r="Q49" s="82"/>
      <c r="R49" s="31"/>
      <c r="S49" s="65"/>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row>
    <row r="50" spans="4:96" s="32" customFormat="1" ht="15" customHeight="1" x14ac:dyDescent="0.35">
      <c r="D50" s="31"/>
      <c r="E50" s="31"/>
      <c r="K50" s="1505"/>
      <c r="Q50" s="82"/>
      <c r="R50" s="31"/>
      <c r="S50" s="65"/>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4:96" s="32" customFormat="1" ht="15" customHeight="1" x14ac:dyDescent="0.35">
      <c r="D51" s="31"/>
      <c r="E51" s="31"/>
      <c r="K51" s="1505"/>
      <c r="Q51" s="82"/>
      <c r="R51" s="31"/>
      <c r="S51" s="65"/>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4:96" s="32" customFormat="1" ht="15" customHeight="1" x14ac:dyDescent="0.35">
      <c r="D52" s="31"/>
      <c r="E52" s="31"/>
      <c r="K52" s="1505"/>
      <c r="Q52" s="82"/>
      <c r="R52" s="31"/>
      <c r="S52" s="65"/>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4:96" s="32" customFormat="1" ht="15" customHeight="1" x14ac:dyDescent="0.35">
      <c r="D53" s="31"/>
      <c r="E53" s="31"/>
      <c r="K53" s="1505"/>
      <c r="Q53" s="82"/>
      <c r="R53" s="31"/>
      <c r="S53" s="65"/>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4:96" s="32" customFormat="1" ht="15" customHeight="1" x14ac:dyDescent="0.35">
      <c r="D54" s="31"/>
      <c r="E54" s="31"/>
      <c r="K54" s="1505"/>
      <c r="Q54" s="82"/>
      <c r="R54" s="31"/>
      <c r="S54" s="65"/>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row>
    <row r="55" spans="4:96" s="32" customFormat="1" ht="15" customHeight="1" x14ac:dyDescent="0.35">
      <c r="D55" s="31"/>
      <c r="E55" s="31"/>
      <c r="K55" s="1505"/>
      <c r="Q55" s="82"/>
      <c r="R55" s="31"/>
      <c r="S55" s="65"/>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row>
    <row r="56" spans="4:96" s="32" customFormat="1" ht="15" customHeight="1" x14ac:dyDescent="0.35">
      <c r="D56" s="31"/>
      <c r="E56" s="31"/>
      <c r="K56" s="1505"/>
      <c r="Q56" s="82"/>
      <c r="R56" s="31"/>
      <c r="S56" s="65"/>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row>
    <row r="57" spans="4:96" s="32" customFormat="1" ht="15" customHeight="1" x14ac:dyDescent="0.35">
      <c r="D57" s="31"/>
      <c r="E57" s="31"/>
      <c r="K57" s="1505"/>
      <c r="Q57" s="82"/>
      <c r="R57" s="31"/>
      <c r="S57" s="65"/>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row>
    <row r="58" spans="4:96" s="32" customFormat="1" ht="15" customHeight="1" x14ac:dyDescent="0.35">
      <c r="D58" s="31"/>
      <c r="E58" s="31"/>
      <c r="K58" s="1505"/>
      <c r="Q58" s="82"/>
      <c r="R58" s="31"/>
      <c r="S58" s="65"/>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row>
    <row r="59" spans="4:96" s="32" customFormat="1" ht="15" customHeight="1" x14ac:dyDescent="0.35">
      <c r="D59" s="31"/>
      <c r="E59" s="31"/>
      <c r="K59" s="1505"/>
      <c r="Q59" s="82"/>
      <c r="R59" s="31"/>
      <c r="S59" s="65"/>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row>
    <row r="60" spans="4:96" s="32" customFormat="1" ht="15" customHeight="1" x14ac:dyDescent="0.35">
      <c r="D60" s="31"/>
      <c r="E60" s="31"/>
      <c r="K60" s="1505"/>
      <c r="Q60" s="82"/>
      <c r="R60" s="31"/>
      <c r="S60" s="65"/>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row>
    <row r="61" spans="4:96" s="32" customFormat="1" ht="15" customHeight="1" x14ac:dyDescent="0.35">
      <c r="D61" s="31"/>
      <c r="E61" s="31"/>
      <c r="K61" s="1505"/>
      <c r="Q61" s="82"/>
      <c r="R61" s="31"/>
      <c r="S61" s="65"/>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row>
    <row r="62" spans="4:96" s="32" customFormat="1" ht="15" customHeight="1" x14ac:dyDescent="0.35">
      <c r="D62" s="31"/>
      <c r="E62" s="31"/>
      <c r="K62" s="1505"/>
      <c r="Q62" s="82"/>
      <c r="R62" s="31"/>
      <c r="S62" s="65"/>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row>
    <row r="63" spans="4:96" s="32" customFormat="1" ht="15" customHeight="1" x14ac:dyDescent="0.35">
      <c r="D63" s="31"/>
      <c r="E63" s="31"/>
      <c r="K63" s="1505"/>
      <c r="Q63" s="82"/>
      <c r="R63" s="31"/>
      <c r="S63" s="65"/>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row>
    <row r="64" spans="4:96" s="32" customFormat="1" ht="15" customHeight="1" x14ac:dyDescent="0.35">
      <c r="D64" s="31"/>
      <c r="E64" s="31"/>
      <c r="K64" s="1505"/>
      <c r="Q64" s="82"/>
      <c r="R64" s="31"/>
      <c r="S64" s="65"/>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row>
    <row r="65" spans="4:96" s="32" customFormat="1" ht="15" customHeight="1" x14ac:dyDescent="0.35">
      <c r="D65" s="31"/>
      <c r="E65" s="31"/>
      <c r="K65" s="1505"/>
      <c r="Q65" s="82"/>
      <c r="R65" s="31"/>
      <c r="S65" s="65"/>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row>
    <row r="66" spans="4:96" s="32" customFormat="1" ht="15" customHeight="1" x14ac:dyDescent="0.35">
      <c r="D66" s="31"/>
      <c r="E66" s="31"/>
      <c r="K66" s="1505"/>
      <c r="Q66" s="82"/>
      <c r="R66" s="31"/>
      <c r="S66" s="65"/>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row>
    <row r="67" spans="4:96" s="32" customFormat="1" ht="15" customHeight="1" x14ac:dyDescent="0.35">
      <c r="D67" s="31"/>
      <c r="E67" s="31"/>
      <c r="K67" s="1505"/>
      <c r="Q67" s="82"/>
      <c r="R67" s="31"/>
      <c r="S67" s="65"/>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row>
    <row r="68" spans="4:96" s="32" customFormat="1" ht="15" customHeight="1" x14ac:dyDescent="0.35">
      <c r="D68" s="31"/>
      <c r="E68" s="31"/>
      <c r="K68" s="1505"/>
      <c r="Q68" s="82"/>
      <c r="R68" s="31"/>
      <c r="S68" s="65"/>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row>
    <row r="69" spans="4:96" s="32" customFormat="1" ht="15" customHeight="1" x14ac:dyDescent="0.35">
      <c r="D69" s="31"/>
      <c r="E69" s="31"/>
      <c r="K69" s="1505"/>
      <c r="Q69" s="82"/>
      <c r="R69" s="31"/>
      <c r="S69" s="65"/>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row>
    <row r="70" spans="4:96" s="32" customFormat="1" ht="15" customHeight="1" x14ac:dyDescent="0.35">
      <c r="D70" s="31"/>
      <c r="E70" s="31"/>
      <c r="K70" s="1505"/>
      <c r="Q70" s="82"/>
      <c r="R70" s="31"/>
      <c r="S70" s="65"/>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row>
    <row r="71" spans="4:96" s="32" customFormat="1" ht="15" customHeight="1" x14ac:dyDescent="0.35">
      <c r="D71" s="31"/>
      <c r="E71" s="31"/>
      <c r="K71" s="1505"/>
      <c r="Q71" s="82"/>
      <c r="R71" s="31"/>
      <c r="S71" s="65"/>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row>
    <row r="72" spans="4:96" s="32" customFormat="1" ht="15" customHeight="1" x14ac:dyDescent="0.35">
      <c r="D72" s="31"/>
      <c r="E72" s="31"/>
      <c r="K72" s="1505"/>
      <c r="Q72" s="82"/>
      <c r="R72" s="31"/>
      <c r="S72" s="65"/>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row>
    <row r="73" spans="4:96" s="32" customFormat="1" ht="15" customHeight="1" x14ac:dyDescent="0.35">
      <c r="D73" s="31"/>
      <c r="E73" s="31"/>
      <c r="K73" s="1505"/>
      <c r="Q73" s="82"/>
      <c r="R73" s="31"/>
      <c r="S73" s="65"/>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row>
    <row r="74" spans="4:96" s="32" customFormat="1" ht="15" customHeight="1" x14ac:dyDescent="0.35">
      <c r="D74" s="31"/>
      <c r="E74" s="31"/>
      <c r="K74" s="1505"/>
      <c r="Q74" s="82"/>
      <c r="R74" s="31"/>
      <c r="S74" s="65"/>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row>
    <row r="75" spans="4:96" s="32" customFormat="1" ht="15" customHeight="1" x14ac:dyDescent="0.35">
      <c r="D75" s="31"/>
      <c r="E75" s="31"/>
      <c r="K75" s="1505"/>
      <c r="Q75" s="82"/>
      <c r="R75" s="31"/>
      <c r="S75" s="65"/>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row>
    <row r="76" spans="4:96" s="32" customFormat="1" ht="15" customHeight="1" x14ac:dyDescent="0.35">
      <c r="D76" s="31"/>
      <c r="E76" s="31"/>
      <c r="K76" s="1505"/>
      <c r="Q76" s="82"/>
      <c r="R76" s="31"/>
      <c r="S76" s="65"/>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row>
    <row r="77" spans="4:96" s="32" customFormat="1" ht="15" customHeight="1" x14ac:dyDescent="0.35">
      <c r="D77" s="31"/>
      <c r="E77" s="31"/>
      <c r="K77" s="1505"/>
      <c r="Q77" s="82"/>
      <c r="R77" s="31"/>
      <c r="S77" s="65"/>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row>
    <row r="78" spans="4:96" s="32" customFormat="1" ht="15" customHeight="1" x14ac:dyDescent="0.35">
      <c r="D78" s="31"/>
      <c r="E78" s="31"/>
      <c r="K78" s="1505"/>
      <c r="Q78" s="82"/>
      <c r="R78" s="31"/>
      <c r="S78" s="65"/>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row>
    <row r="79" spans="4:96" s="32" customFormat="1" ht="15" customHeight="1" x14ac:dyDescent="0.35">
      <c r="D79" s="31"/>
      <c r="E79" s="31"/>
      <c r="K79" s="1505"/>
      <c r="Q79" s="82"/>
      <c r="R79" s="31"/>
      <c r="S79" s="65"/>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row>
    <row r="80" spans="4:96" s="32" customFormat="1" ht="15" customHeight="1" x14ac:dyDescent="0.35">
      <c r="D80" s="31"/>
      <c r="E80" s="31"/>
      <c r="K80" s="1505"/>
      <c r="Q80" s="82"/>
      <c r="R80" s="31"/>
      <c r="S80" s="65"/>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row>
    <row r="81" spans="4:96" s="32" customFormat="1" ht="15" customHeight="1" x14ac:dyDescent="0.35">
      <c r="D81" s="31"/>
      <c r="E81" s="31"/>
      <c r="K81" s="1505"/>
      <c r="Q81" s="82"/>
      <c r="R81" s="31"/>
      <c r="S81" s="65"/>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row>
    <row r="82" spans="4:96" s="32" customFormat="1" ht="15" customHeight="1" x14ac:dyDescent="0.35">
      <c r="D82" s="31"/>
      <c r="E82" s="31"/>
      <c r="K82" s="1505"/>
      <c r="Q82" s="82"/>
      <c r="R82" s="31"/>
      <c r="S82" s="65"/>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row>
    <row r="83" spans="4:96" s="32" customFormat="1" ht="15" customHeight="1" x14ac:dyDescent="0.35">
      <c r="D83" s="31"/>
      <c r="E83" s="31"/>
      <c r="K83" s="1505"/>
      <c r="Q83" s="82"/>
      <c r="R83" s="31"/>
      <c r="S83" s="65"/>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row>
    <row r="84" spans="4:96" s="32" customFormat="1" ht="15" customHeight="1" x14ac:dyDescent="0.35">
      <c r="D84" s="31"/>
      <c r="E84" s="31"/>
      <c r="K84" s="1505"/>
      <c r="Q84" s="82"/>
      <c r="R84" s="31"/>
      <c r="S84" s="65"/>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row>
    <row r="85" spans="4:96" s="32" customFormat="1" ht="15" customHeight="1" x14ac:dyDescent="0.35">
      <c r="D85" s="31"/>
      <c r="E85" s="31"/>
      <c r="K85" s="1505"/>
      <c r="Q85" s="82"/>
      <c r="R85" s="31"/>
      <c r="S85" s="65"/>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row>
    <row r="86" spans="4:96" s="32" customFormat="1" ht="15" customHeight="1" x14ac:dyDescent="0.35">
      <c r="D86" s="31"/>
      <c r="E86" s="31"/>
      <c r="K86" s="1505"/>
      <c r="Q86" s="82"/>
      <c r="R86" s="31"/>
      <c r="S86" s="65"/>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row>
    <row r="87" spans="4:96" s="32" customFormat="1" ht="15" customHeight="1" x14ac:dyDescent="0.35">
      <c r="D87" s="31"/>
      <c r="E87" s="31"/>
      <c r="K87" s="1505"/>
      <c r="Q87" s="82"/>
      <c r="R87" s="31"/>
      <c r="S87" s="65"/>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row>
    <row r="88" spans="4:96" s="32" customFormat="1" ht="15" customHeight="1" x14ac:dyDescent="0.35">
      <c r="D88" s="31"/>
      <c r="E88" s="31"/>
      <c r="K88" s="1505"/>
      <c r="Q88" s="82"/>
      <c r="R88" s="31"/>
      <c r="S88" s="65"/>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row>
    <row r="89" spans="4:96" s="32" customFormat="1" ht="15" customHeight="1" x14ac:dyDescent="0.35">
      <c r="D89" s="31"/>
      <c r="E89" s="31"/>
      <c r="K89" s="1505"/>
      <c r="Q89" s="82"/>
      <c r="R89" s="31"/>
      <c r="S89" s="65"/>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row>
    <row r="90" spans="4:96" s="32" customFormat="1" ht="15" customHeight="1" x14ac:dyDescent="0.35">
      <c r="D90" s="31"/>
      <c r="E90" s="31"/>
      <c r="K90" s="1505"/>
      <c r="Q90" s="82"/>
      <c r="R90" s="31"/>
      <c r="S90" s="65"/>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row>
    <row r="91" spans="4:96" s="32" customFormat="1" ht="15" customHeight="1" x14ac:dyDescent="0.35">
      <c r="D91" s="31"/>
      <c r="E91" s="31"/>
      <c r="K91" s="1505"/>
      <c r="Q91" s="82"/>
      <c r="R91" s="31"/>
      <c r="S91" s="65"/>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row>
    <row r="92" spans="4:96" s="32" customFormat="1" ht="15" customHeight="1" x14ac:dyDescent="0.35">
      <c r="D92" s="31"/>
      <c r="E92" s="31"/>
      <c r="K92" s="1505"/>
      <c r="Q92" s="82"/>
      <c r="R92" s="31"/>
      <c r="S92" s="65"/>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row>
    <row r="93" spans="4:96" s="32" customFormat="1" ht="15" customHeight="1" x14ac:dyDescent="0.35">
      <c r="D93" s="31"/>
      <c r="E93" s="31"/>
      <c r="K93" s="1505"/>
      <c r="Q93" s="82"/>
      <c r="R93" s="31"/>
      <c r="S93" s="65"/>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row>
    <row r="94" spans="4:96" s="32" customFormat="1" ht="15" customHeight="1" x14ac:dyDescent="0.35">
      <c r="D94" s="31"/>
      <c r="E94" s="31"/>
      <c r="K94" s="1505"/>
      <c r="Q94" s="82"/>
      <c r="R94" s="31"/>
      <c r="S94" s="65"/>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row>
    <row r="95" spans="4:96" s="32" customFormat="1" ht="15" customHeight="1" x14ac:dyDescent="0.35">
      <c r="D95" s="31"/>
      <c r="E95" s="31"/>
      <c r="K95" s="1505"/>
      <c r="Q95" s="82"/>
      <c r="R95" s="31"/>
      <c r="S95" s="65"/>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row>
    <row r="96" spans="4:96" s="32" customFormat="1" ht="15" customHeight="1" x14ac:dyDescent="0.35">
      <c r="D96" s="31"/>
      <c r="E96" s="31"/>
      <c r="K96" s="1505"/>
      <c r="Q96" s="82"/>
      <c r="R96" s="31"/>
      <c r="S96" s="65"/>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row>
    <row r="97" spans="4:96" s="32" customFormat="1" ht="15" customHeight="1" x14ac:dyDescent="0.35">
      <c r="D97" s="31"/>
      <c r="E97" s="31"/>
      <c r="K97" s="1505"/>
      <c r="Q97" s="82"/>
      <c r="R97" s="31"/>
      <c r="S97" s="65"/>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row>
    <row r="98" spans="4:96" s="32" customFormat="1" ht="15" customHeight="1" x14ac:dyDescent="0.35">
      <c r="D98" s="31"/>
      <c r="E98" s="31"/>
      <c r="K98" s="1505"/>
      <c r="Q98" s="82"/>
      <c r="R98" s="31"/>
      <c r="S98" s="65"/>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row>
    <row r="99" spans="4:96" s="32" customFormat="1" ht="15" customHeight="1" x14ac:dyDescent="0.35">
      <c r="D99" s="31"/>
      <c r="E99" s="31"/>
      <c r="K99" s="1505"/>
      <c r="Q99" s="82"/>
      <c r="R99" s="31"/>
      <c r="S99" s="65"/>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row>
  </sheetData>
  <mergeCells count="3">
    <mergeCell ref="S10:S11"/>
    <mergeCell ref="L7:P7"/>
    <mergeCell ref="F7:J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K2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D2CA-058C-4832-8C51-3E4DFB7319CA}">
  <sheetPr codeName="Sheet13">
    <pageSetUpPr autoPageBreaks="0"/>
  </sheetPr>
  <dimension ref="A1:CR101"/>
  <sheetViews>
    <sheetView showGridLines="0" zoomScale="70" zoomScaleNormal="70" workbookViewId="0"/>
  </sheetViews>
  <sheetFormatPr defaultColWidth="8.7265625" defaultRowHeight="15" customHeight="1" outlineLevelRow="1" outlineLevelCol="1" x14ac:dyDescent="0.35"/>
  <cols>
    <col min="1" max="3" width="13.54296875" style="31" customWidth="1"/>
    <col min="4" max="4" width="41.453125" style="31" bestFit="1" customWidth="1"/>
    <col min="5" max="5" width="0.81640625" style="31" customWidth="1"/>
    <col min="6" max="6" width="15.54296875" style="32" customWidth="1" collapsed="1"/>
    <col min="7" max="7" width="15.54296875" style="32" customWidth="1"/>
    <col min="8" max="8" width="19" style="32" customWidth="1"/>
    <col min="9" max="10" width="15.54296875" style="32" customWidth="1"/>
    <col min="11" max="11" width="0.81640625" style="32" customWidth="1"/>
    <col min="12" max="16" width="15.54296875" style="32" customWidth="1"/>
    <col min="17" max="17" width="13.54296875" style="31" customWidth="1"/>
    <col min="18" max="18" width="32.81640625" style="65" hidden="1" customWidth="1" outlineLevel="1"/>
    <col min="19" max="19" width="13.54296875" style="31" customWidth="1" collapsed="1"/>
    <col min="20" max="20" width="1.54296875" style="31" customWidth="1"/>
    <col min="21" max="23" width="13.54296875" style="31" customWidth="1"/>
    <col min="24" max="258" width="8.7265625" style="31"/>
    <col min="259" max="259" width="35" style="31" customWidth="1"/>
    <col min="260" max="263" width="14.453125" style="31" customWidth="1"/>
    <col min="264" max="264" width="2.453125" style="31" customWidth="1"/>
    <col min="265" max="268" width="14.453125" style="31" customWidth="1"/>
    <col min="269" max="269" width="2.453125" style="31" customWidth="1"/>
    <col min="270" max="270" width="52.1796875" style="31" customWidth="1"/>
    <col min="271" max="514" width="8.7265625" style="31"/>
    <col min="515" max="515" width="35" style="31" customWidth="1"/>
    <col min="516" max="519" width="14.453125" style="31" customWidth="1"/>
    <col min="520" max="520" width="2.453125" style="31" customWidth="1"/>
    <col min="521" max="524" width="14.453125" style="31" customWidth="1"/>
    <col min="525" max="525" width="2.453125" style="31" customWidth="1"/>
    <col min="526" max="526" width="52.1796875" style="31" customWidth="1"/>
    <col min="527" max="770" width="8.7265625" style="31"/>
    <col min="771" max="771" width="35" style="31" customWidth="1"/>
    <col min="772" max="775" width="14.453125" style="31" customWidth="1"/>
    <col min="776" max="776" width="2.453125" style="31" customWidth="1"/>
    <col min="777" max="780" width="14.453125" style="31" customWidth="1"/>
    <col min="781" max="781" width="2.453125" style="31" customWidth="1"/>
    <col min="782" max="782" width="52.1796875" style="31" customWidth="1"/>
    <col min="783" max="1026" width="8.7265625" style="31"/>
    <col min="1027" max="1027" width="35" style="31" customWidth="1"/>
    <col min="1028" max="1031" width="14.453125" style="31" customWidth="1"/>
    <col min="1032" max="1032" width="2.453125" style="31" customWidth="1"/>
    <col min="1033" max="1036" width="14.453125" style="31" customWidth="1"/>
    <col min="1037" max="1037" width="2.453125" style="31" customWidth="1"/>
    <col min="1038" max="1038" width="52.1796875" style="31" customWidth="1"/>
    <col min="1039" max="1282" width="8.7265625" style="31"/>
    <col min="1283" max="1283" width="35" style="31" customWidth="1"/>
    <col min="1284" max="1287" width="14.453125" style="31" customWidth="1"/>
    <col min="1288" max="1288" width="2.453125" style="31" customWidth="1"/>
    <col min="1289" max="1292" width="14.453125" style="31" customWidth="1"/>
    <col min="1293" max="1293" width="2.453125" style="31" customWidth="1"/>
    <col min="1294" max="1294" width="52.1796875" style="31" customWidth="1"/>
    <col min="1295" max="1538" width="8.7265625" style="31"/>
    <col min="1539" max="1539" width="35" style="31" customWidth="1"/>
    <col min="1540" max="1543" width="14.453125" style="31" customWidth="1"/>
    <col min="1544" max="1544" width="2.453125" style="31" customWidth="1"/>
    <col min="1545" max="1548" width="14.453125" style="31" customWidth="1"/>
    <col min="1549" max="1549" width="2.453125" style="31" customWidth="1"/>
    <col min="1550" max="1550" width="52.1796875" style="31" customWidth="1"/>
    <col min="1551" max="1794" width="8.7265625" style="31"/>
    <col min="1795" max="1795" width="35" style="31" customWidth="1"/>
    <col min="1796" max="1799" width="14.453125" style="31" customWidth="1"/>
    <col min="1800" max="1800" width="2.453125" style="31" customWidth="1"/>
    <col min="1801" max="1804" width="14.453125" style="31" customWidth="1"/>
    <col min="1805" max="1805" width="2.453125" style="31" customWidth="1"/>
    <col min="1806" max="1806" width="52.1796875" style="31" customWidth="1"/>
    <col min="1807" max="2050" width="8.7265625" style="31"/>
    <col min="2051" max="2051" width="35" style="31" customWidth="1"/>
    <col min="2052" max="2055" width="14.453125" style="31" customWidth="1"/>
    <col min="2056" max="2056" width="2.453125" style="31" customWidth="1"/>
    <col min="2057" max="2060" width="14.453125" style="31" customWidth="1"/>
    <col min="2061" max="2061" width="2.453125" style="31" customWidth="1"/>
    <col min="2062" max="2062" width="52.1796875" style="31" customWidth="1"/>
    <col min="2063" max="2306" width="8.7265625" style="31"/>
    <col min="2307" max="2307" width="35" style="31" customWidth="1"/>
    <col min="2308" max="2311" width="14.453125" style="31" customWidth="1"/>
    <col min="2312" max="2312" width="2.453125" style="31" customWidth="1"/>
    <col min="2313" max="2316" width="14.453125" style="31" customWidth="1"/>
    <col min="2317" max="2317" width="2.453125" style="31" customWidth="1"/>
    <col min="2318" max="2318" width="52.1796875" style="31" customWidth="1"/>
    <col min="2319" max="2562" width="8.7265625" style="31"/>
    <col min="2563" max="2563" width="35" style="31" customWidth="1"/>
    <col min="2564" max="2567" width="14.453125" style="31" customWidth="1"/>
    <col min="2568" max="2568" width="2.453125" style="31" customWidth="1"/>
    <col min="2569" max="2572" width="14.453125" style="31" customWidth="1"/>
    <col min="2573" max="2573" width="2.453125" style="31" customWidth="1"/>
    <col min="2574" max="2574" width="52.1796875" style="31" customWidth="1"/>
    <col min="2575" max="2818" width="8.7265625" style="31"/>
    <col min="2819" max="2819" width="35" style="31" customWidth="1"/>
    <col min="2820" max="2823" width="14.453125" style="31" customWidth="1"/>
    <col min="2824" max="2824" width="2.453125" style="31" customWidth="1"/>
    <col min="2825" max="2828" width="14.453125" style="31" customWidth="1"/>
    <col min="2829" max="2829" width="2.453125" style="31" customWidth="1"/>
    <col min="2830" max="2830" width="52.1796875" style="31" customWidth="1"/>
    <col min="2831" max="3074" width="8.7265625" style="31"/>
    <col min="3075" max="3075" width="35" style="31" customWidth="1"/>
    <col min="3076" max="3079" width="14.453125" style="31" customWidth="1"/>
    <col min="3080" max="3080" width="2.453125" style="31" customWidth="1"/>
    <col min="3081" max="3084" width="14.453125" style="31" customWidth="1"/>
    <col min="3085" max="3085" width="2.453125" style="31" customWidth="1"/>
    <col min="3086" max="3086" width="52.1796875" style="31" customWidth="1"/>
    <col min="3087" max="3330" width="8.7265625" style="31"/>
    <col min="3331" max="3331" width="35" style="31" customWidth="1"/>
    <col min="3332" max="3335" width="14.453125" style="31" customWidth="1"/>
    <col min="3336" max="3336" width="2.453125" style="31" customWidth="1"/>
    <col min="3337" max="3340" width="14.453125" style="31" customWidth="1"/>
    <col min="3341" max="3341" width="2.453125" style="31" customWidth="1"/>
    <col min="3342" max="3342" width="52.1796875" style="31" customWidth="1"/>
    <col min="3343" max="3586" width="8.7265625" style="31"/>
    <col min="3587" max="3587" width="35" style="31" customWidth="1"/>
    <col min="3588" max="3591" width="14.453125" style="31" customWidth="1"/>
    <col min="3592" max="3592" width="2.453125" style="31" customWidth="1"/>
    <col min="3593" max="3596" width="14.453125" style="31" customWidth="1"/>
    <col min="3597" max="3597" width="2.453125" style="31" customWidth="1"/>
    <col min="3598" max="3598" width="52.1796875" style="31" customWidth="1"/>
    <col min="3599" max="3842" width="8.7265625" style="31"/>
    <col min="3843" max="3843" width="35" style="31" customWidth="1"/>
    <col min="3844" max="3847" width="14.453125" style="31" customWidth="1"/>
    <col min="3848" max="3848" width="2.453125" style="31" customWidth="1"/>
    <col min="3849" max="3852" width="14.453125" style="31" customWidth="1"/>
    <col min="3853" max="3853" width="2.453125" style="31" customWidth="1"/>
    <col min="3854" max="3854" width="52.1796875" style="31" customWidth="1"/>
    <col min="3855" max="4098" width="8.7265625" style="31"/>
    <col min="4099" max="4099" width="35" style="31" customWidth="1"/>
    <col min="4100" max="4103" width="14.453125" style="31" customWidth="1"/>
    <col min="4104" max="4104" width="2.453125" style="31" customWidth="1"/>
    <col min="4105" max="4108" width="14.453125" style="31" customWidth="1"/>
    <col min="4109" max="4109" width="2.453125" style="31" customWidth="1"/>
    <col min="4110" max="4110" width="52.1796875" style="31" customWidth="1"/>
    <col min="4111" max="4354" width="8.7265625" style="31"/>
    <col min="4355" max="4355" width="35" style="31" customWidth="1"/>
    <col min="4356" max="4359" width="14.453125" style="31" customWidth="1"/>
    <col min="4360" max="4360" width="2.453125" style="31" customWidth="1"/>
    <col min="4361" max="4364" width="14.453125" style="31" customWidth="1"/>
    <col min="4365" max="4365" width="2.453125" style="31" customWidth="1"/>
    <col min="4366" max="4366" width="52.1796875" style="31" customWidth="1"/>
    <col min="4367" max="4610" width="8.7265625" style="31"/>
    <col min="4611" max="4611" width="35" style="31" customWidth="1"/>
    <col min="4612" max="4615" width="14.453125" style="31" customWidth="1"/>
    <col min="4616" max="4616" width="2.453125" style="31" customWidth="1"/>
    <col min="4617" max="4620" width="14.453125" style="31" customWidth="1"/>
    <col min="4621" max="4621" width="2.453125" style="31" customWidth="1"/>
    <col min="4622" max="4622" width="52.1796875" style="31" customWidth="1"/>
    <col min="4623" max="4866" width="8.7265625" style="31"/>
    <col min="4867" max="4867" width="35" style="31" customWidth="1"/>
    <col min="4868" max="4871" width="14.453125" style="31" customWidth="1"/>
    <col min="4872" max="4872" width="2.453125" style="31" customWidth="1"/>
    <col min="4873" max="4876" width="14.453125" style="31" customWidth="1"/>
    <col min="4877" max="4877" width="2.453125" style="31" customWidth="1"/>
    <col min="4878" max="4878" width="52.1796875" style="31" customWidth="1"/>
    <col min="4879" max="5122" width="8.7265625" style="31"/>
    <col min="5123" max="5123" width="35" style="31" customWidth="1"/>
    <col min="5124" max="5127" width="14.453125" style="31" customWidth="1"/>
    <col min="5128" max="5128" width="2.453125" style="31" customWidth="1"/>
    <col min="5129" max="5132" width="14.453125" style="31" customWidth="1"/>
    <col min="5133" max="5133" width="2.453125" style="31" customWidth="1"/>
    <col min="5134" max="5134" width="52.1796875" style="31" customWidth="1"/>
    <col min="5135" max="5378" width="8.7265625" style="31"/>
    <col min="5379" max="5379" width="35" style="31" customWidth="1"/>
    <col min="5380" max="5383" width="14.453125" style="31" customWidth="1"/>
    <col min="5384" max="5384" width="2.453125" style="31" customWidth="1"/>
    <col min="5385" max="5388" width="14.453125" style="31" customWidth="1"/>
    <col min="5389" max="5389" width="2.453125" style="31" customWidth="1"/>
    <col min="5390" max="5390" width="52.1796875" style="31" customWidth="1"/>
    <col min="5391" max="5634" width="8.7265625" style="31"/>
    <col min="5635" max="5635" width="35" style="31" customWidth="1"/>
    <col min="5636" max="5639" width="14.453125" style="31" customWidth="1"/>
    <col min="5640" max="5640" width="2.453125" style="31" customWidth="1"/>
    <col min="5641" max="5644" width="14.453125" style="31" customWidth="1"/>
    <col min="5645" max="5645" width="2.453125" style="31" customWidth="1"/>
    <col min="5646" max="5646" width="52.1796875" style="31" customWidth="1"/>
    <col min="5647" max="5890" width="8.7265625" style="31"/>
    <col min="5891" max="5891" width="35" style="31" customWidth="1"/>
    <col min="5892" max="5895" width="14.453125" style="31" customWidth="1"/>
    <col min="5896" max="5896" width="2.453125" style="31" customWidth="1"/>
    <col min="5897" max="5900" width="14.453125" style="31" customWidth="1"/>
    <col min="5901" max="5901" width="2.453125" style="31" customWidth="1"/>
    <col min="5902" max="5902" width="52.1796875" style="31" customWidth="1"/>
    <col min="5903" max="6146" width="8.7265625" style="31"/>
    <col min="6147" max="6147" width="35" style="31" customWidth="1"/>
    <col min="6148" max="6151" width="14.453125" style="31" customWidth="1"/>
    <col min="6152" max="6152" width="2.453125" style="31" customWidth="1"/>
    <col min="6153" max="6156" width="14.453125" style="31" customWidth="1"/>
    <col min="6157" max="6157" width="2.453125" style="31" customWidth="1"/>
    <col min="6158" max="6158" width="52.1796875" style="31" customWidth="1"/>
    <col min="6159" max="6402" width="8.7265625" style="31"/>
    <col min="6403" max="6403" width="35" style="31" customWidth="1"/>
    <col min="6404" max="6407" width="14.453125" style="31" customWidth="1"/>
    <col min="6408" max="6408" width="2.453125" style="31" customWidth="1"/>
    <col min="6409" max="6412" width="14.453125" style="31" customWidth="1"/>
    <col min="6413" max="6413" width="2.453125" style="31" customWidth="1"/>
    <col min="6414" max="6414" width="52.1796875" style="31" customWidth="1"/>
    <col min="6415" max="6658" width="8.7265625" style="31"/>
    <col min="6659" max="6659" width="35" style="31" customWidth="1"/>
    <col min="6660" max="6663" width="14.453125" style="31" customWidth="1"/>
    <col min="6664" max="6664" width="2.453125" style="31" customWidth="1"/>
    <col min="6665" max="6668" width="14.453125" style="31" customWidth="1"/>
    <col min="6669" max="6669" width="2.453125" style="31" customWidth="1"/>
    <col min="6670" max="6670" width="52.1796875" style="31" customWidth="1"/>
    <col min="6671" max="6914" width="8.7265625" style="31"/>
    <col min="6915" max="6915" width="35" style="31" customWidth="1"/>
    <col min="6916" max="6919" width="14.453125" style="31" customWidth="1"/>
    <col min="6920" max="6920" width="2.453125" style="31" customWidth="1"/>
    <col min="6921" max="6924" width="14.453125" style="31" customWidth="1"/>
    <col min="6925" max="6925" width="2.453125" style="31" customWidth="1"/>
    <col min="6926" max="6926" width="52.1796875" style="31" customWidth="1"/>
    <col min="6927" max="7170" width="8.7265625" style="31"/>
    <col min="7171" max="7171" width="35" style="31" customWidth="1"/>
    <col min="7172" max="7175" width="14.453125" style="31" customWidth="1"/>
    <col min="7176" max="7176" width="2.453125" style="31" customWidth="1"/>
    <col min="7177" max="7180" width="14.453125" style="31" customWidth="1"/>
    <col min="7181" max="7181" width="2.453125" style="31" customWidth="1"/>
    <col min="7182" max="7182" width="52.1796875" style="31" customWidth="1"/>
    <col min="7183" max="7426" width="8.7265625" style="31"/>
    <col min="7427" max="7427" width="35" style="31" customWidth="1"/>
    <col min="7428" max="7431" width="14.453125" style="31" customWidth="1"/>
    <col min="7432" max="7432" width="2.453125" style="31" customWidth="1"/>
    <col min="7433" max="7436" width="14.453125" style="31" customWidth="1"/>
    <col min="7437" max="7437" width="2.453125" style="31" customWidth="1"/>
    <col min="7438" max="7438" width="52.1796875" style="31" customWidth="1"/>
    <col min="7439" max="7682" width="8.7265625" style="31"/>
    <col min="7683" max="7683" width="35" style="31" customWidth="1"/>
    <col min="7684" max="7687" width="14.453125" style="31" customWidth="1"/>
    <col min="7688" max="7688" width="2.453125" style="31" customWidth="1"/>
    <col min="7689" max="7692" width="14.453125" style="31" customWidth="1"/>
    <col min="7693" max="7693" width="2.453125" style="31" customWidth="1"/>
    <col min="7694" max="7694" width="52.1796875" style="31" customWidth="1"/>
    <col min="7695" max="7938" width="8.7265625" style="31"/>
    <col min="7939" max="7939" width="35" style="31" customWidth="1"/>
    <col min="7940" max="7943" width="14.453125" style="31" customWidth="1"/>
    <col min="7944" max="7944" width="2.453125" style="31" customWidth="1"/>
    <col min="7945" max="7948" width="14.453125" style="31" customWidth="1"/>
    <col min="7949" max="7949" width="2.453125" style="31" customWidth="1"/>
    <col min="7950" max="7950" width="52.1796875" style="31" customWidth="1"/>
    <col min="7951" max="8194" width="8.7265625" style="31"/>
    <col min="8195" max="8195" width="35" style="31" customWidth="1"/>
    <col min="8196" max="8199" width="14.453125" style="31" customWidth="1"/>
    <col min="8200" max="8200" width="2.453125" style="31" customWidth="1"/>
    <col min="8201" max="8204" width="14.453125" style="31" customWidth="1"/>
    <col min="8205" max="8205" width="2.453125" style="31" customWidth="1"/>
    <col min="8206" max="8206" width="52.1796875" style="31" customWidth="1"/>
    <col min="8207" max="8450" width="8.7265625" style="31"/>
    <col min="8451" max="8451" width="35" style="31" customWidth="1"/>
    <col min="8452" max="8455" width="14.453125" style="31" customWidth="1"/>
    <col min="8456" max="8456" width="2.453125" style="31" customWidth="1"/>
    <col min="8457" max="8460" width="14.453125" style="31" customWidth="1"/>
    <col min="8461" max="8461" width="2.453125" style="31" customWidth="1"/>
    <col min="8462" max="8462" width="52.1796875" style="31" customWidth="1"/>
    <col min="8463" max="8706" width="8.7265625" style="31"/>
    <col min="8707" max="8707" width="35" style="31" customWidth="1"/>
    <col min="8708" max="8711" width="14.453125" style="31" customWidth="1"/>
    <col min="8712" max="8712" width="2.453125" style="31" customWidth="1"/>
    <col min="8713" max="8716" width="14.453125" style="31" customWidth="1"/>
    <col min="8717" max="8717" width="2.453125" style="31" customWidth="1"/>
    <col min="8718" max="8718" width="52.1796875" style="31" customWidth="1"/>
    <col min="8719" max="8962" width="8.7265625" style="31"/>
    <col min="8963" max="8963" width="35" style="31" customWidth="1"/>
    <col min="8964" max="8967" width="14.453125" style="31" customWidth="1"/>
    <col min="8968" max="8968" width="2.453125" style="31" customWidth="1"/>
    <col min="8969" max="8972" width="14.453125" style="31" customWidth="1"/>
    <col min="8973" max="8973" width="2.453125" style="31" customWidth="1"/>
    <col min="8974" max="8974" width="52.1796875" style="31" customWidth="1"/>
    <col min="8975" max="9218" width="8.7265625" style="31"/>
    <col min="9219" max="9219" width="35" style="31" customWidth="1"/>
    <col min="9220" max="9223" width="14.453125" style="31" customWidth="1"/>
    <col min="9224" max="9224" width="2.453125" style="31" customWidth="1"/>
    <col min="9225" max="9228" width="14.453125" style="31" customWidth="1"/>
    <col min="9229" max="9229" width="2.453125" style="31" customWidth="1"/>
    <col min="9230" max="9230" width="52.1796875" style="31" customWidth="1"/>
    <col min="9231" max="9474" width="8.7265625" style="31"/>
    <col min="9475" max="9475" width="35" style="31" customWidth="1"/>
    <col min="9476" max="9479" width="14.453125" style="31" customWidth="1"/>
    <col min="9480" max="9480" width="2.453125" style="31" customWidth="1"/>
    <col min="9481" max="9484" width="14.453125" style="31" customWidth="1"/>
    <col min="9485" max="9485" width="2.453125" style="31" customWidth="1"/>
    <col min="9486" max="9486" width="52.1796875" style="31" customWidth="1"/>
    <col min="9487" max="9730" width="8.7265625" style="31"/>
    <col min="9731" max="9731" width="35" style="31" customWidth="1"/>
    <col min="9732" max="9735" width="14.453125" style="31" customWidth="1"/>
    <col min="9736" max="9736" width="2.453125" style="31" customWidth="1"/>
    <col min="9737" max="9740" width="14.453125" style="31" customWidth="1"/>
    <col min="9741" max="9741" width="2.453125" style="31" customWidth="1"/>
    <col min="9742" max="9742" width="52.1796875" style="31" customWidth="1"/>
    <col min="9743" max="9986" width="8.7265625" style="31"/>
    <col min="9987" max="9987" width="35" style="31" customWidth="1"/>
    <col min="9988" max="9991" width="14.453125" style="31" customWidth="1"/>
    <col min="9992" max="9992" width="2.453125" style="31" customWidth="1"/>
    <col min="9993" max="9996" width="14.453125" style="31" customWidth="1"/>
    <col min="9997" max="9997" width="2.453125" style="31" customWidth="1"/>
    <col min="9998" max="9998" width="52.1796875" style="31" customWidth="1"/>
    <col min="9999" max="10242" width="8.7265625" style="31"/>
    <col min="10243" max="10243" width="35" style="31" customWidth="1"/>
    <col min="10244" max="10247" width="14.453125" style="31" customWidth="1"/>
    <col min="10248" max="10248" width="2.453125" style="31" customWidth="1"/>
    <col min="10249" max="10252" width="14.453125" style="31" customWidth="1"/>
    <col min="10253" max="10253" width="2.453125" style="31" customWidth="1"/>
    <col min="10254" max="10254" width="52.1796875" style="31" customWidth="1"/>
    <col min="10255" max="10498" width="8.7265625" style="31"/>
    <col min="10499" max="10499" width="35" style="31" customWidth="1"/>
    <col min="10500" max="10503" width="14.453125" style="31" customWidth="1"/>
    <col min="10504" max="10504" width="2.453125" style="31" customWidth="1"/>
    <col min="10505" max="10508" width="14.453125" style="31" customWidth="1"/>
    <col min="10509" max="10509" width="2.453125" style="31" customWidth="1"/>
    <col min="10510" max="10510" width="52.1796875" style="31" customWidth="1"/>
    <col min="10511" max="10754" width="8.7265625" style="31"/>
    <col min="10755" max="10755" width="35" style="31" customWidth="1"/>
    <col min="10756" max="10759" width="14.453125" style="31" customWidth="1"/>
    <col min="10760" max="10760" width="2.453125" style="31" customWidth="1"/>
    <col min="10761" max="10764" width="14.453125" style="31" customWidth="1"/>
    <col min="10765" max="10765" width="2.453125" style="31" customWidth="1"/>
    <col min="10766" max="10766" width="52.1796875" style="31" customWidth="1"/>
    <col min="10767" max="11010" width="8.7265625" style="31"/>
    <col min="11011" max="11011" width="35" style="31" customWidth="1"/>
    <col min="11012" max="11015" width="14.453125" style="31" customWidth="1"/>
    <col min="11016" max="11016" width="2.453125" style="31" customWidth="1"/>
    <col min="11017" max="11020" width="14.453125" style="31" customWidth="1"/>
    <col min="11021" max="11021" width="2.453125" style="31" customWidth="1"/>
    <col min="11022" max="11022" width="52.1796875" style="31" customWidth="1"/>
    <col min="11023" max="11266" width="8.7265625" style="31"/>
    <col min="11267" max="11267" width="35" style="31" customWidth="1"/>
    <col min="11268" max="11271" width="14.453125" style="31" customWidth="1"/>
    <col min="11272" max="11272" width="2.453125" style="31" customWidth="1"/>
    <col min="11273" max="11276" width="14.453125" style="31" customWidth="1"/>
    <col min="11277" max="11277" width="2.453125" style="31" customWidth="1"/>
    <col min="11278" max="11278" width="52.1796875" style="31" customWidth="1"/>
    <col min="11279" max="11522" width="8.7265625" style="31"/>
    <col min="11523" max="11523" width="35" style="31" customWidth="1"/>
    <col min="11524" max="11527" width="14.453125" style="31" customWidth="1"/>
    <col min="11528" max="11528" width="2.453125" style="31" customWidth="1"/>
    <col min="11529" max="11532" width="14.453125" style="31" customWidth="1"/>
    <col min="11533" max="11533" width="2.453125" style="31" customWidth="1"/>
    <col min="11534" max="11534" width="52.1796875" style="31" customWidth="1"/>
    <col min="11535" max="11778" width="8.7265625" style="31"/>
    <col min="11779" max="11779" width="35" style="31" customWidth="1"/>
    <col min="11780" max="11783" width="14.453125" style="31" customWidth="1"/>
    <col min="11784" max="11784" width="2.453125" style="31" customWidth="1"/>
    <col min="11785" max="11788" width="14.453125" style="31" customWidth="1"/>
    <col min="11789" max="11789" width="2.453125" style="31" customWidth="1"/>
    <col min="11790" max="11790" width="52.1796875" style="31" customWidth="1"/>
    <col min="11791" max="12034" width="8.7265625" style="31"/>
    <col min="12035" max="12035" width="35" style="31" customWidth="1"/>
    <col min="12036" max="12039" width="14.453125" style="31" customWidth="1"/>
    <col min="12040" max="12040" width="2.453125" style="31" customWidth="1"/>
    <col min="12041" max="12044" width="14.453125" style="31" customWidth="1"/>
    <col min="12045" max="12045" width="2.453125" style="31" customWidth="1"/>
    <col min="12046" max="12046" width="52.1796875" style="31" customWidth="1"/>
    <col min="12047" max="12290" width="8.7265625" style="31"/>
    <col min="12291" max="12291" width="35" style="31" customWidth="1"/>
    <col min="12292" max="12295" width="14.453125" style="31" customWidth="1"/>
    <col min="12296" max="12296" width="2.453125" style="31" customWidth="1"/>
    <col min="12297" max="12300" width="14.453125" style="31" customWidth="1"/>
    <col min="12301" max="12301" width="2.453125" style="31" customWidth="1"/>
    <col min="12302" max="12302" width="52.1796875" style="31" customWidth="1"/>
    <col min="12303" max="12546" width="8.7265625" style="31"/>
    <col min="12547" max="12547" width="35" style="31" customWidth="1"/>
    <col min="12548" max="12551" width="14.453125" style="31" customWidth="1"/>
    <col min="12552" max="12552" width="2.453125" style="31" customWidth="1"/>
    <col min="12553" max="12556" width="14.453125" style="31" customWidth="1"/>
    <col min="12557" max="12557" width="2.453125" style="31" customWidth="1"/>
    <col min="12558" max="12558" width="52.1796875" style="31" customWidth="1"/>
    <col min="12559" max="12802" width="8.7265625" style="31"/>
    <col min="12803" max="12803" width="35" style="31" customWidth="1"/>
    <col min="12804" max="12807" width="14.453125" style="31" customWidth="1"/>
    <col min="12808" max="12808" width="2.453125" style="31" customWidth="1"/>
    <col min="12809" max="12812" width="14.453125" style="31" customWidth="1"/>
    <col min="12813" max="12813" width="2.453125" style="31" customWidth="1"/>
    <col min="12814" max="12814" width="52.1796875" style="31" customWidth="1"/>
    <col min="12815" max="13058" width="8.7265625" style="31"/>
    <col min="13059" max="13059" width="35" style="31" customWidth="1"/>
    <col min="13060" max="13063" width="14.453125" style="31" customWidth="1"/>
    <col min="13064" max="13064" width="2.453125" style="31" customWidth="1"/>
    <col min="13065" max="13068" width="14.453125" style="31" customWidth="1"/>
    <col min="13069" max="13069" width="2.453125" style="31" customWidth="1"/>
    <col min="13070" max="13070" width="52.1796875" style="31" customWidth="1"/>
    <col min="13071" max="13314" width="8.7265625" style="31"/>
    <col min="13315" max="13315" width="35" style="31" customWidth="1"/>
    <col min="13316" max="13319" width="14.453125" style="31" customWidth="1"/>
    <col min="13320" max="13320" width="2.453125" style="31" customWidth="1"/>
    <col min="13321" max="13324" width="14.453125" style="31" customWidth="1"/>
    <col min="13325" max="13325" width="2.453125" style="31" customWidth="1"/>
    <col min="13326" max="13326" width="52.1796875" style="31" customWidth="1"/>
    <col min="13327" max="13570" width="8.7265625" style="31"/>
    <col min="13571" max="13571" width="35" style="31" customWidth="1"/>
    <col min="13572" max="13575" width="14.453125" style="31" customWidth="1"/>
    <col min="13576" max="13576" width="2.453125" style="31" customWidth="1"/>
    <col min="13577" max="13580" width="14.453125" style="31" customWidth="1"/>
    <col min="13581" max="13581" width="2.453125" style="31" customWidth="1"/>
    <col min="13582" max="13582" width="52.1796875" style="31" customWidth="1"/>
    <col min="13583" max="13826" width="8.7265625" style="31"/>
    <col min="13827" max="13827" width="35" style="31" customWidth="1"/>
    <col min="13828" max="13831" width="14.453125" style="31" customWidth="1"/>
    <col min="13832" max="13832" width="2.453125" style="31" customWidth="1"/>
    <col min="13833" max="13836" width="14.453125" style="31" customWidth="1"/>
    <col min="13837" max="13837" width="2.453125" style="31" customWidth="1"/>
    <col min="13838" max="13838" width="52.1796875" style="31" customWidth="1"/>
    <col min="13839" max="14082" width="8.7265625" style="31"/>
    <col min="14083" max="14083" width="35" style="31" customWidth="1"/>
    <col min="14084" max="14087" width="14.453125" style="31" customWidth="1"/>
    <col min="14088" max="14088" width="2.453125" style="31" customWidth="1"/>
    <col min="14089" max="14092" width="14.453125" style="31" customWidth="1"/>
    <col min="14093" max="14093" width="2.453125" style="31" customWidth="1"/>
    <col min="14094" max="14094" width="52.1796875" style="31" customWidth="1"/>
    <col min="14095" max="14338" width="8.7265625" style="31"/>
    <col min="14339" max="14339" width="35" style="31" customWidth="1"/>
    <col min="14340" max="14343" width="14.453125" style="31" customWidth="1"/>
    <col min="14344" max="14344" width="2.453125" style="31" customWidth="1"/>
    <col min="14345" max="14348" width="14.453125" style="31" customWidth="1"/>
    <col min="14349" max="14349" width="2.453125" style="31" customWidth="1"/>
    <col min="14350" max="14350" width="52.1796875" style="31" customWidth="1"/>
    <col min="14351" max="14594" width="8.7265625" style="31"/>
    <col min="14595" max="14595" width="35" style="31" customWidth="1"/>
    <col min="14596" max="14599" width="14.453125" style="31" customWidth="1"/>
    <col min="14600" max="14600" width="2.453125" style="31" customWidth="1"/>
    <col min="14601" max="14604" width="14.453125" style="31" customWidth="1"/>
    <col min="14605" max="14605" width="2.453125" style="31" customWidth="1"/>
    <col min="14606" max="14606" width="52.1796875" style="31" customWidth="1"/>
    <col min="14607" max="14850" width="8.7265625" style="31"/>
    <col min="14851" max="14851" width="35" style="31" customWidth="1"/>
    <col min="14852" max="14855" width="14.453125" style="31" customWidth="1"/>
    <col min="14856" max="14856" width="2.453125" style="31" customWidth="1"/>
    <col min="14857" max="14860" width="14.453125" style="31" customWidth="1"/>
    <col min="14861" max="14861" width="2.453125" style="31" customWidth="1"/>
    <col min="14862" max="14862" width="52.1796875" style="31" customWidth="1"/>
    <col min="14863" max="15106" width="8.7265625" style="31"/>
    <col min="15107" max="15107" width="35" style="31" customWidth="1"/>
    <col min="15108" max="15111" width="14.453125" style="31" customWidth="1"/>
    <col min="15112" max="15112" width="2.453125" style="31" customWidth="1"/>
    <col min="15113" max="15116" width="14.453125" style="31" customWidth="1"/>
    <col min="15117" max="15117" width="2.453125" style="31" customWidth="1"/>
    <col min="15118" max="15118" width="52.1796875" style="31" customWidth="1"/>
    <col min="15119" max="15362" width="8.7265625" style="31"/>
    <col min="15363" max="15363" width="35" style="31" customWidth="1"/>
    <col min="15364" max="15367" width="14.453125" style="31" customWidth="1"/>
    <col min="15368" max="15368" width="2.453125" style="31" customWidth="1"/>
    <col min="15369" max="15372" width="14.453125" style="31" customWidth="1"/>
    <col min="15373" max="15373" width="2.453125" style="31" customWidth="1"/>
    <col min="15374" max="15374" width="52.1796875" style="31" customWidth="1"/>
    <col min="15375" max="15618" width="8.7265625" style="31"/>
    <col min="15619" max="15619" width="35" style="31" customWidth="1"/>
    <col min="15620" max="15623" width="14.453125" style="31" customWidth="1"/>
    <col min="15624" max="15624" width="2.453125" style="31" customWidth="1"/>
    <col min="15625" max="15628" width="14.453125" style="31" customWidth="1"/>
    <col min="15629" max="15629" width="2.453125" style="31" customWidth="1"/>
    <col min="15630" max="15630" width="52.1796875" style="31" customWidth="1"/>
    <col min="15631" max="15874" width="8.7265625" style="31"/>
    <col min="15875" max="15875" width="35" style="31" customWidth="1"/>
    <col min="15876" max="15879" width="14.453125" style="31" customWidth="1"/>
    <col min="15880" max="15880" width="2.453125" style="31" customWidth="1"/>
    <col min="15881" max="15884" width="14.453125" style="31" customWidth="1"/>
    <col min="15885" max="15885" width="2.453125" style="31" customWidth="1"/>
    <col min="15886" max="15886" width="52.1796875" style="31" customWidth="1"/>
    <col min="15887" max="16130" width="8.7265625" style="31"/>
    <col min="16131" max="16131" width="35" style="31" customWidth="1"/>
    <col min="16132" max="16135" width="14.453125" style="31" customWidth="1"/>
    <col min="16136" max="16136" width="2.453125" style="31" customWidth="1"/>
    <col min="16137" max="16140" width="14.453125" style="31" customWidth="1"/>
    <col min="16141" max="16141" width="2.453125" style="31" customWidth="1"/>
    <col min="16142" max="16142" width="52.1796875" style="31" customWidth="1"/>
    <col min="16143" max="16384" width="8.7265625" style="31"/>
  </cols>
  <sheetData>
    <row r="1" spans="1:96" ht="15" customHeight="1" x14ac:dyDescent="0.35">
      <c r="A1" s="1324" t="s">
        <v>275</v>
      </c>
      <c r="B1" s="993"/>
      <c r="D1" s="37"/>
      <c r="E1" s="37"/>
      <c r="F1" s="1500"/>
      <c r="I1" s="1500"/>
      <c r="J1" s="1500"/>
      <c r="K1" s="1500"/>
      <c r="L1" s="1500"/>
      <c r="M1" s="1500"/>
      <c r="N1" s="1500"/>
      <c r="O1" s="1500"/>
      <c r="P1" s="1500"/>
      <c r="R1" s="1092"/>
      <c r="S1" s="1553"/>
    </row>
    <row r="2" spans="1:96" ht="15" customHeight="1" x14ac:dyDescent="0.35">
      <c r="F2" s="1500"/>
      <c r="G2" s="1500"/>
      <c r="H2" s="2060"/>
      <c r="I2" s="1500"/>
      <c r="J2" s="1500"/>
      <c r="K2" s="1500"/>
      <c r="L2" s="1500"/>
      <c r="M2" s="1500"/>
      <c r="N2" s="1500"/>
      <c r="O2" s="1500"/>
      <c r="P2" s="1500"/>
      <c r="S2" s="1498"/>
    </row>
    <row r="3" spans="1:96" ht="15" customHeight="1" x14ac:dyDescent="0.35">
      <c r="D3" s="88" t="str">
        <f>LEFT(D4,FIND(":",D4)-1)</f>
        <v>Table T10</v>
      </c>
      <c r="E3" s="88"/>
      <c r="F3" s="1500"/>
      <c r="G3" s="1500"/>
      <c r="H3" s="2061"/>
      <c r="I3" s="1500"/>
      <c r="J3" s="1500"/>
      <c r="K3" s="1500"/>
      <c r="L3" s="1500"/>
      <c r="M3" s="1500"/>
      <c r="N3" s="1500"/>
      <c r="O3" s="1500"/>
      <c r="P3" s="1500"/>
      <c r="R3" s="195"/>
      <c r="S3" s="1498"/>
    </row>
    <row r="4" spans="1:96" ht="15" customHeight="1" x14ac:dyDescent="0.45">
      <c r="D4" s="1656" t="str">
        <f>ToC!$J$17</f>
        <v>Table T10: Operations &amp; Maintenance Costs for CC Resource (Nominal$)</v>
      </c>
      <c r="E4" s="1503"/>
      <c r="F4" s="1503"/>
      <c r="G4" s="1503"/>
      <c r="H4" s="1503"/>
      <c r="I4" s="1503"/>
      <c r="J4" s="1503"/>
      <c r="K4" s="1503"/>
      <c r="L4" s="1503"/>
      <c r="M4" s="1503"/>
      <c r="N4" s="1503"/>
      <c r="O4" s="1503"/>
      <c r="P4" s="1503"/>
      <c r="R4" s="197"/>
      <c r="S4" s="1498"/>
    </row>
    <row r="5" spans="1:96" ht="6" customHeight="1" thickBot="1" x14ac:dyDescent="0.4">
      <c r="D5" s="686"/>
      <c r="E5" s="686"/>
      <c r="F5" s="1504"/>
      <c r="G5" s="1504"/>
      <c r="H5" s="1504"/>
      <c r="I5" s="1504"/>
      <c r="J5" s="1504"/>
      <c r="K5" s="1504"/>
      <c r="L5" s="1504"/>
      <c r="M5" s="1504"/>
      <c r="N5" s="1504"/>
      <c r="O5" s="1504"/>
      <c r="P5" s="1504"/>
    </row>
    <row r="6" spans="1:96" ht="6" customHeight="1" thickTop="1" x14ac:dyDescent="0.35">
      <c r="F6" s="1506"/>
      <c r="G6" s="753"/>
      <c r="H6" s="753"/>
      <c r="I6" s="753"/>
      <c r="J6" s="753"/>
      <c r="K6" s="753"/>
      <c r="L6" s="1506"/>
      <c r="M6" s="753"/>
      <c r="N6" s="753"/>
      <c r="O6" s="753"/>
      <c r="P6" s="753"/>
    </row>
    <row r="7" spans="1:96" ht="14.5" x14ac:dyDescent="0.35">
      <c r="D7" s="1508"/>
      <c r="E7" s="1426"/>
      <c r="F7" s="2192" t="str">
        <f>"Current O&amp;M Costs: "&amp;TEXT(Control!$H$18,"mm/yyyy")</f>
        <v>Current O&amp;M Costs: 01/2025</v>
      </c>
      <c r="G7" s="2192"/>
      <c r="H7" s="2192"/>
      <c r="I7" s="2192"/>
      <c r="J7" s="2192"/>
      <c r="K7" s="1378"/>
      <c r="L7" s="2191" t="str">
        <f>"Escalated O&amp;M Costs: "&amp;TEXT(Control!$H$19,"mm/yyyy")</f>
        <v>Escalated O&amp;M Costs: 06/2028</v>
      </c>
      <c r="M7" s="2191"/>
      <c r="N7" s="2191"/>
      <c r="O7" s="2191"/>
      <c r="P7" s="2191"/>
    </row>
    <row r="8" spans="1:96" ht="6" customHeight="1" x14ac:dyDescent="0.35">
      <c r="D8" s="1508"/>
      <c r="E8" s="1428"/>
      <c r="F8" s="753"/>
      <c r="G8" s="753"/>
      <c r="H8" s="753"/>
      <c r="I8" s="753"/>
      <c r="J8" s="753"/>
      <c r="K8" s="753"/>
      <c r="L8" s="753"/>
      <c r="M8" s="753"/>
      <c r="N8" s="753"/>
      <c r="O8" s="753"/>
      <c r="P8" s="753"/>
    </row>
    <row r="9" spans="1:96" s="83" customFormat="1" ht="15" customHeight="1" x14ac:dyDescent="0.35">
      <c r="A9" s="1421"/>
      <c r="B9" s="1421"/>
      <c r="C9" s="1421"/>
      <c r="D9" s="1508" t="s">
        <v>24</v>
      </c>
      <c r="E9" s="1428"/>
      <c r="F9" s="1428" t="s">
        <v>259</v>
      </c>
      <c r="G9" s="1428" t="s">
        <v>259</v>
      </c>
      <c r="H9" s="1428" t="s">
        <v>259</v>
      </c>
      <c r="I9" s="1428" t="s">
        <v>259</v>
      </c>
      <c r="J9" s="1428" t="s">
        <v>259</v>
      </c>
      <c r="K9" s="1428"/>
      <c r="L9" s="1428" t="s">
        <v>259</v>
      </c>
      <c r="M9" s="1428" t="s">
        <v>259</v>
      </c>
      <c r="N9" s="1428" t="s">
        <v>259</v>
      </c>
      <c r="O9" s="1428" t="s">
        <v>259</v>
      </c>
      <c r="P9" s="1428" t="s">
        <v>259</v>
      </c>
      <c r="R9" s="71"/>
    </row>
    <row r="10" spans="1:96" ht="15" hidden="1" customHeight="1" outlineLevel="1" x14ac:dyDescent="0.35">
      <c r="E10" s="1430"/>
      <c r="F10" s="1378">
        <v>1</v>
      </c>
      <c r="G10" s="1378">
        <v>2</v>
      </c>
      <c r="H10" s="1378">
        <v>3</v>
      </c>
      <c r="I10" s="1378">
        <v>4</v>
      </c>
      <c r="J10" s="1378">
        <v>5</v>
      </c>
      <c r="K10" s="1378"/>
      <c r="L10" s="1378">
        <v>1</v>
      </c>
      <c r="M10" s="1378">
        <v>2</v>
      </c>
      <c r="N10" s="1378">
        <v>3</v>
      </c>
      <c r="O10" s="1378">
        <v>4</v>
      </c>
      <c r="P10" s="1378">
        <v>5</v>
      </c>
      <c r="Q10" s="1497"/>
      <c r="R10" s="2193" t="s">
        <v>269</v>
      </c>
      <c r="S10" s="1497"/>
      <c r="T10" s="1497"/>
    </row>
    <row r="11" spans="1:96" ht="15" customHeight="1" collapsed="1" x14ac:dyDescent="0.35">
      <c r="D11" s="1540" t="s">
        <v>287</v>
      </c>
      <c r="E11" s="1431"/>
      <c r="F11" s="1380" t="s">
        <v>288</v>
      </c>
      <c r="G11" s="1380" t="s">
        <v>289</v>
      </c>
      <c r="H11" s="1380" t="s">
        <v>290</v>
      </c>
      <c r="I11" s="1380" t="s">
        <v>291</v>
      </c>
      <c r="J11" s="1380" t="s">
        <v>299</v>
      </c>
      <c r="K11" s="1381"/>
      <c r="L11" s="1380" t="s">
        <v>288</v>
      </c>
      <c r="M11" s="1380" t="s">
        <v>289</v>
      </c>
      <c r="N11" s="1380" t="s">
        <v>290</v>
      </c>
      <c r="O11" s="1380" t="s">
        <v>291</v>
      </c>
      <c r="P11" s="1380" t="s">
        <v>299</v>
      </c>
      <c r="Q11" s="1497"/>
      <c r="R11" s="2193"/>
      <c r="S11" s="1497"/>
      <c r="T11" s="1497"/>
    </row>
    <row r="12" spans="1:96" ht="15" customHeight="1" x14ac:dyDescent="0.35">
      <c r="D12" s="1402" t="str">
        <f>Control!$D$42&amp;" (MW)"</f>
        <v>Net Summer Capacity (MW)</v>
      </c>
      <c r="E12" s="1433"/>
      <c r="F12" s="1511">
        <f>'Capital Costs - CC'!G$12</f>
        <v>1289.1210000000001</v>
      </c>
      <c r="G12" s="1511">
        <f>'Capital Costs - CC'!H$12</f>
        <v>1289.296</v>
      </c>
      <c r="H12" s="1511">
        <f>'Capital Costs - CC'!I$12</f>
        <v>1276.144</v>
      </c>
      <c r="I12" s="1511">
        <f>'Capital Costs - CC'!J$12</f>
        <v>1263.559</v>
      </c>
      <c r="J12" s="1511">
        <f>'Capital Costs - CC'!K$12</f>
        <v>1293.8</v>
      </c>
      <c r="K12" s="1512"/>
      <c r="L12" s="1511">
        <f>'Capital Costs - CC'!M$12</f>
        <v>1289.1210000000001</v>
      </c>
      <c r="M12" s="1511">
        <f>'Capital Costs - CC'!N$12</f>
        <v>1289.296</v>
      </c>
      <c r="N12" s="1511">
        <f>'Capital Costs - CC'!O$12</f>
        <v>1276.144</v>
      </c>
      <c r="O12" s="1511">
        <f>'Capital Costs - CC'!P$12</f>
        <v>1263.559</v>
      </c>
      <c r="P12" s="1511">
        <f>'Capital Costs - CC'!Q$12</f>
        <v>1293.8</v>
      </c>
      <c r="Q12" s="1497"/>
      <c r="R12" s="931"/>
      <c r="S12" s="1497"/>
      <c r="T12" s="1497"/>
    </row>
    <row r="13" spans="1:96" ht="6" customHeight="1" x14ac:dyDescent="0.35">
      <c r="D13" s="1513"/>
      <c r="E13" s="1513"/>
      <c r="F13" s="672"/>
      <c r="G13" s="672"/>
      <c r="H13" s="672"/>
      <c r="I13" s="672"/>
      <c r="J13" s="672"/>
      <c r="K13" s="672"/>
      <c r="L13" s="672"/>
      <c r="M13" s="672"/>
      <c r="N13" s="672"/>
      <c r="O13" s="672"/>
      <c r="P13" s="672"/>
    </row>
    <row r="14" spans="1:96" ht="6" customHeight="1" x14ac:dyDescent="0.35">
      <c r="D14" s="683"/>
      <c r="E14" s="683"/>
      <c r="F14" s="1515"/>
      <c r="G14" s="1515"/>
      <c r="H14" s="1515"/>
      <c r="I14" s="1515"/>
      <c r="J14" s="1515"/>
      <c r="K14" s="1515"/>
      <c r="L14" s="1515"/>
      <c r="M14" s="1515"/>
      <c r="N14" s="1515"/>
      <c r="O14" s="1515"/>
      <c r="P14" s="1515"/>
      <c r="Q14" s="683"/>
      <c r="R14" s="67"/>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row>
    <row r="15" spans="1:96" ht="15" customHeight="1" x14ac:dyDescent="0.35">
      <c r="D15" s="1654" t="s">
        <v>559</v>
      </c>
      <c r="E15" s="68"/>
      <c r="F15" s="70"/>
      <c r="G15" s="70"/>
      <c r="H15" s="70"/>
      <c r="I15" s="70"/>
      <c r="J15" s="70"/>
      <c r="K15" s="70"/>
      <c r="L15" s="70"/>
      <c r="M15" s="70"/>
      <c r="N15" s="70"/>
      <c r="O15" s="70"/>
      <c r="P15" s="70"/>
    </row>
    <row r="16" spans="1:96" ht="15" customHeight="1" x14ac:dyDescent="0.35">
      <c r="D16" s="63" t="s">
        <v>201</v>
      </c>
      <c r="E16" s="1893"/>
      <c r="F16" s="1894" cm="1">
        <f t="array" ref="F16">IF(Control!$H$10=Control!$J$10, (INDEX('CC OM Costs'!$K$36:$O$65, MATCH('O&amp;M Costs - CC'!$R16, 'CC OM Costs'!$D$36:$D$65, 0),F$10))/1000000, "-")</f>
        <v>1.0389999999999999</v>
      </c>
      <c r="G16" s="1894" cm="1">
        <f t="array" ref="G16">IF(Control!$H$10=Control!$J$10, (INDEX('CC OM Costs'!$K$36:$O$65, MATCH('O&amp;M Costs - CC'!$R16, 'CC OM Costs'!$D$36:$D$65, 0),G$10))/1000000, "-")</f>
        <v>1.0389999999999999</v>
      </c>
      <c r="H16" s="1895" cm="1">
        <f t="array" ref="H16">IF(Control!$H$10=Control!$J$10, (INDEX('CC OM Costs'!$K$36:$O$65, MATCH('O&amp;M Costs - CC'!$R16, 'CC OM Costs'!$D$36:$D$65, 0),H$10))/10^6, "-")</f>
        <v>1.0389999999999999</v>
      </c>
      <c r="I16" s="1896" cm="1">
        <f t="array" ref="I16">IF(Control!$H$10=Control!$J$10, (INDEX('CC OM Costs'!$K$36:$O$65, MATCH('O&amp;M Costs - CC'!$R16, 'CC OM Costs'!$D$36:$D$65, 0),I$10))/1000000, "-")</f>
        <v>1.0389999999999999</v>
      </c>
      <c r="J16" s="1896" cm="1">
        <f t="array" ref="J16">IF(Control!$H$10=Control!$J$10, (INDEX('CC OM Costs'!$K$36:$O$65, MATCH('O&amp;M Costs - CC'!$R16, 'CC OM Costs'!$D$36:$D$65, 0),J$10))/1000000, "-")</f>
        <v>1.0389999999999999</v>
      </c>
      <c r="K16" s="1896"/>
      <c r="L16" s="1894" cm="1">
        <f t="array" ref="L16">IF(Control!$H$10=Control!$J$10, (INDEX('CC OM Costs'!$R$36:$V$65, MATCH('O&amp;M Costs - CC'!$R16, 'CC OM Costs'!$D$36:$D$65, 0),L$10))/1000000, "-")</f>
        <v>1.1318130582314139</v>
      </c>
      <c r="M16" s="1894" cm="1">
        <f t="array" ref="M16">IF(Control!$H$10=Control!$J$10, (INDEX('CC OM Costs'!$R$36:$V$65, MATCH('O&amp;M Costs - CC'!$R16, 'CC OM Costs'!$D$36:$D$65, 0),M$10))/1000000, "-")</f>
        <v>1.1318130582314139</v>
      </c>
      <c r="N16" s="1894" cm="1">
        <f t="array" ref="N16">IF(Control!$H$10=Control!$J$10, (INDEX('CC OM Costs'!$R$36:$V$65, MATCH('O&amp;M Costs - CC'!$R16, 'CC OM Costs'!$D$36:$D$65, 0),N$10))/1000000, "-")</f>
        <v>1.1318130582314139</v>
      </c>
      <c r="O16" s="1894" cm="1">
        <f t="array" ref="O16">IF(Control!$H$10=Control!$J$10, (INDEX('CC OM Costs'!$R$36:$V$65, MATCH('O&amp;M Costs - CC'!$R16, 'CC OM Costs'!$D$36:$D$65, 0),O$10))/1000000, "-")</f>
        <v>1.1318130582314139</v>
      </c>
      <c r="P16" s="1894" cm="1">
        <f t="array" ref="P16">IF(Control!$H$10=Control!$J$10, (INDEX('CC OM Costs'!$R$36:$V$65, MATCH('O&amp;M Costs - CC'!$R16, 'CC OM Costs'!$D$36:$D$65, 0),P$10))/1000000, "-")</f>
        <v>1.1318130582314139</v>
      </c>
      <c r="Q16" s="993"/>
      <c r="R16" s="66" t="str">
        <f>'CC OM Costs'!$D40</f>
        <v>Long-term Service Agreement (LTSA)</v>
      </c>
      <c r="S16" s="993"/>
      <c r="U16" s="993"/>
      <c r="V16" s="993"/>
      <c r="W16" s="993"/>
    </row>
    <row r="17" spans="1:23" ht="15" customHeight="1" x14ac:dyDescent="0.35">
      <c r="D17" s="2088" t="str">
        <f>$R17</f>
        <v>Labor</v>
      </c>
      <c r="E17" s="1897"/>
      <c r="F17" s="1871" cm="1">
        <f t="array" ref="F17">IF(Control!$H$10=Control!$J$10, (INDEX('CC OM Costs'!$K$36:$O$65, MATCH('O&amp;M Costs - CC'!$R17, 'CC OM Costs'!$D$36:$D$65, 0),F$10))/1000000, "-")</f>
        <v>4.9089999999999998</v>
      </c>
      <c r="G17" s="1871" cm="1">
        <f t="array" ref="G17">IF(Control!$H$10=Control!$J$10, (INDEX('CC OM Costs'!$K$36:$O$65, MATCH('O&amp;M Costs - CC'!$R17, 'CC OM Costs'!$D$36:$D$65, 0),G$10))/1000000, "-")</f>
        <v>5.2220000000000004</v>
      </c>
      <c r="H17" s="1898" cm="1">
        <f t="array" ref="H17">IF(Control!$H$10=Control!$J$10, (INDEX('CC OM Costs'!$K$36:$O$65, MATCH('O&amp;M Costs - CC'!$R17, 'CC OM Costs'!$D$36:$D$65, 0),H$10))/10^6, "-")</f>
        <v>3.577</v>
      </c>
      <c r="I17" s="1870" cm="1">
        <f t="array" ref="I17">IF(Control!$H$10=Control!$J$10, (INDEX('CC OM Costs'!$K$36:$O$65, MATCH('O&amp;M Costs - CC'!$R17, 'CC OM Costs'!$D$36:$D$65, 0),I$10))/1000000, "-")</f>
        <v>4.2770000000000001</v>
      </c>
      <c r="J17" s="1870" cm="1">
        <f t="array" ref="J17">IF(Control!$H$10=Control!$J$10, (INDEX('CC OM Costs'!$K$36:$O$65, MATCH('O&amp;M Costs - CC'!$R17, 'CC OM Costs'!$D$36:$D$65, 0),J$10))/1000000, "-")</f>
        <v>4.7210000000000001</v>
      </c>
      <c r="K17" s="1870"/>
      <c r="L17" s="1871" cm="1">
        <f t="array" ref="L17">IF(Control!$H$10=Control!$J$10, (INDEX('CC OM Costs'!$R$36:$V$65, MATCH('O&amp;M Costs - CC'!$R17, 'CC OM Costs'!$D$36:$D$65, 0),L$10))/1000000, "-")</f>
        <v>5.347517134608287</v>
      </c>
      <c r="M17" s="1871" cm="1">
        <f t="array" ref="M17">IF(Control!$H$10=Control!$J$10, (INDEX('CC OM Costs'!$R$36:$V$65, MATCH('O&amp;M Costs - CC'!$R17, 'CC OM Costs'!$D$36:$D$65, 0),M$10))/1000000, "-")</f>
        <v>5.6884771800620237</v>
      </c>
      <c r="N17" s="1871" cm="1">
        <f t="array" ref="N17">IF(Control!$H$10=Control!$J$10, (INDEX('CC OM Costs'!$R$36:$V$65, MATCH('O&amp;M Costs - CC'!$R17, 'CC OM Costs'!$D$36:$D$65, 0),N$10))/1000000, "-")</f>
        <v>3.8965306152971775</v>
      </c>
      <c r="O17" s="1871" cm="1">
        <f t="array" ref="O17">IF(Control!$H$10=Control!$J$10, (INDEX('CC OM Costs'!$R$36:$V$65, MATCH('O&amp;M Costs - CC'!$R17, 'CC OM Costs'!$D$36:$D$65, 0),O$10))/1000000, "-")</f>
        <v>4.6590610683886018</v>
      </c>
      <c r="P17" s="1871" cm="1">
        <f t="array" ref="P17">IF(Control!$H$10=Control!$J$10, (INDEX('CC OM Costs'!$R$36:$V$65, MATCH('O&amp;M Costs - CC'!$R17, 'CC OM Costs'!$D$36:$D$65, 0),P$10))/1000000, "-")</f>
        <v>5.1427232414923045</v>
      </c>
      <c r="Q17" s="993"/>
      <c r="R17" s="66" t="str">
        <f>'CC OM Costs'!$D41</f>
        <v>Labor</v>
      </c>
      <c r="S17" s="993"/>
      <c r="U17" s="993"/>
      <c r="V17" s="993"/>
      <c r="W17" s="993"/>
    </row>
    <row r="18" spans="1:23" ht="15" customHeight="1" x14ac:dyDescent="0.35">
      <c r="D18" s="63" t="str">
        <f t="shared" ref="D18:D24" si="0">$R18</f>
        <v>Maintenance and Minor Repairs</v>
      </c>
      <c r="E18" s="1893"/>
      <c r="F18" s="1894" cm="1">
        <f t="array" ref="F18">IF(Control!$H$10=Control!$J$10, (INDEX('CC OM Costs'!$K$36:$O$65, MATCH('O&amp;M Costs - CC'!$R18, 'CC OM Costs'!$D$36:$D$65, 0),F$10))/1000000, "-")</f>
        <v>7.1890000000000001</v>
      </c>
      <c r="G18" s="1894" cm="1">
        <f t="array" ref="G18">IF(Control!$H$10=Control!$J$10, (INDEX('CC OM Costs'!$K$36:$O$65, MATCH('O&amp;M Costs - CC'!$R18, 'CC OM Costs'!$D$36:$D$65, 0),G$10))/1000000, "-")</f>
        <v>7.3390000000000004</v>
      </c>
      <c r="H18" s="1895" cm="1">
        <f t="array" ref="H18">IF(Control!$H$10=Control!$J$10, (INDEX('CC OM Costs'!$K$36:$O$65, MATCH('O&amp;M Costs - CC'!$R18, 'CC OM Costs'!$D$36:$D$65, 0),H$10))/10^6, "-")</f>
        <v>6.4690000000000003</v>
      </c>
      <c r="I18" s="1896" cm="1">
        <f t="array" ref="I18">IF(Control!$H$10=Control!$J$10, (INDEX('CC OM Costs'!$K$36:$O$65, MATCH('O&amp;M Costs - CC'!$R18, 'CC OM Costs'!$D$36:$D$65, 0),I$10))/1000000, "-")</f>
        <v>6.867</v>
      </c>
      <c r="J18" s="1896" cm="1">
        <f t="array" ref="J18">IF(Control!$H$10=Control!$J$10, (INDEX('CC OM Costs'!$K$36:$O$65, MATCH('O&amp;M Costs - CC'!$R18, 'CC OM Costs'!$D$36:$D$65, 0),J$10))/1000000, "-")</f>
        <v>7.0960000000000001</v>
      </c>
      <c r="K18" s="1896"/>
      <c r="L18" s="1894" cm="1">
        <f t="array" ref="L18">IF(Control!$H$10=Control!$J$10, (INDEX('CC OM Costs'!$R$36:$V$65, MATCH('O&amp;M Costs - CC'!$R18, 'CC OM Costs'!$D$36:$D$65, 0),L$10))/1000000, "-")</f>
        <v>7.8311877532489262</v>
      </c>
      <c r="M18" s="1894" cm="1">
        <f t="array" ref="M18">IF(Control!$H$10=Control!$J$10, (INDEX('CC OM Costs'!$R$36:$V$65, MATCH('O&amp;M Costs - CC'!$R18, 'CC OM Costs'!$D$36:$D$65, 0),M$10))/1000000, "-")</f>
        <v>7.9945871360542311</v>
      </c>
      <c r="N18" s="1894" cm="1">
        <f t="array" ref="N18">IF(Control!$H$10=Control!$J$10, (INDEX('CC OM Costs'!$R$36:$V$65, MATCH('O&amp;M Costs - CC'!$R18, 'CC OM Costs'!$D$36:$D$65, 0),N$10))/1000000, "-")</f>
        <v>7.0468707157834611</v>
      </c>
      <c r="O18" s="1894" cm="1">
        <f t="array" ref="O18">IF(Control!$H$10=Control!$J$10, (INDEX('CC OM Costs'!$R$36:$V$65, MATCH('O&amp;M Costs - CC'!$R18, 'CC OM Costs'!$D$36:$D$65, 0),O$10))/1000000, "-")</f>
        <v>7.4804237448268713</v>
      </c>
      <c r="P18" s="1894" cm="1">
        <f t="array" ref="P18">IF(Control!$H$10=Control!$J$10, (INDEX('CC OM Costs'!$R$36:$V$65, MATCH('O&amp;M Costs - CC'!$R18, 'CC OM Costs'!$D$36:$D$65, 0),P$10))/1000000, "-")</f>
        <v>7.7298801359096361</v>
      </c>
      <c r="Q18" s="993"/>
      <c r="R18" s="66" t="str">
        <f>'CC OM Costs'!$D42</f>
        <v>Maintenance and Minor Repairs</v>
      </c>
      <c r="S18" s="993"/>
      <c r="U18" s="993"/>
      <c r="V18" s="993"/>
      <c r="W18" s="993"/>
    </row>
    <row r="19" spans="1:23" s="683" customFormat="1" ht="15" customHeight="1" x14ac:dyDescent="0.35">
      <c r="D19" s="1562" t="str">
        <f t="shared" si="0"/>
        <v>Administrative and General</v>
      </c>
      <c r="E19" s="1897"/>
      <c r="F19" s="1871" cm="1">
        <f t="array" ref="F19">IF(Control!$H$10=Control!$J$10, (INDEX('CC OM Costs'!$K$36:$O$65, MATCH('O&amp;M Costs - CC'!$R19, 'CC OM Costs'!$D$36:$D$65, 0),F$10))/1000000, "-")</f>
        <v>1.468</v>
      </c>
      <c r="G19" s="1871" cm="1">
        <f t="array" ref="G19">IF(Control!$H$10=Control!$J$10, (INDEX('CC OM Costs'!$K$36:$O$65, MATCH('O&amp;M Costs - CC'!$R19, 'CC OM Costs'!$D$36:$D$65, 0),G$10))/1000000, "-")</f>
        <v>1.468</v>
      </c>
      <c r="H19" s="1898" cm="1">
        <f t="array" ref="H19">IF(Control!$H$10=Control!$J$10, (INDEX('CC OM Costs'!$K$36:$O$65, MATCH('O&amp;M Costs - CC'!$R19, 'CC OM Costs'!$D$36:$D$65, 0),H$10))/10^6, "-")</f>
        <v>1.468</v>
      </c>
      <c r="I19" s="1870" cm="1">
        <f t="array" ref="I19">IF(Control!$H$10=Control!$J$10, (INDEX('CC OM Costs'!$K$36:$O$65, MATCH('O&amp;M Costs - CC'!$R19, 'CC OM Costs'!$D$36:$D$65, 0),I$10))/1000000, "-")</f>
        <v>1.468</v>
      </c>
      <c r="J19" s="1870" cm="1">
        <f t="array" ref="J19">IF(Control!$H$10=Control!$J$10, (INDEX('CC OM Costs'!$K$36:$O$65, MATCH('O&amp;M Costs - CC'!$R19, 'CC OM Costs'!$D$36:$D$65, 0),J$10))/1000000, "-")</f>
        <v>1.468</v>
      </c>
      <c r="K19" s="1870"/>
      <c r="L19" s="1871" cm="1">
        <f t="array" ref="L19">IF(Control!$H$10=Control!$J$10, (INDEX('CC OM Costs'!$R$36:$V$65, MATCH('O&amp;M Costs - CC'!$R19, 'CC OM Costs'!$D$36:$D$65, 0),L$10))/1000000, "-")</f>
        <v>1.5991352930545866</v>
      </c>
      <c r="M19" s="1871" cm="1">
        <f t="array" ref="M19">IF(Control!$H$10=Control!$J$10, (INDEX('CC OM Costs'!$R$36:$V$65, MATCH('O&amp;M Costs - CC'!$R19, 'CC OM Costs'!$D$36:$D$65, 0),M$10))/1000000, "-")</f>
        <v>1.5991352930545866</v>
      </c>
      <c r="N19" s="1871" cm="1">
        <f t="array" ref="N19">IF(Control!$H$10=Control!$J$10, (INDEX('CC OM Costs'!$R$36:$V$65, MATCH('O&amp;M Costs - CC'!$R19, 'CC OM Costs'!$D$36:$D$65, 0),N$10))/1000000, "-")</f>
        <v>1.5991352930545866</v>
      </c>
      <c r="O19" s="1871" cm="1">
        <f t="array" ref="O19">IF(Control!$H$10=Control!$J$10, (INDEX('CC OM Costs'!$R$36:$V$65, MATCH('O&amp;M Costs - CC'!$R19, 'CC OM Costs'!$D$36:$D$65, 0),O$10))/1000000, "-")</f>
        <v>1.5991352930545866</v>
      </c>
      <c r="P19" s="1871" cm="1">
        <f t="array" ref="P19">IF(Control!$H$10=Control!$J$10, (INDEX('CC OM Costs'!$R$36:$V$65, MATCH('O&amp;M Costs - CC'!$R19, 'CC OM Costs'!$D$36:$D$65, 0),P$10))/1000000, "-")</f>
        <v>1.5991352930545866</v>
      </c>
      <c r="Q19" s="993"/>
      <c r="R19" s="66" t="str">
        <f>'CC OM Costs'!$D43</f>
        <v>Administrative and General</v>
      </c>
      <c r="S19" s="993"/>
      <c r="U19" s="993"/>
      <c r="V19" s="993"/>
      <c r="W19" s="993"/>
    </row>
    <row r="20" spans="1:23" s="683" customFormat="1" ht="15" customHeight="1" x14ac:dyDescent="0.35">
      <c r="D20" s="63" t="str">
        <f t="shared" si="0"/>
        <v>Asset Management</v>
      </c>
      <c r="E20" s="1893"/>
      <c r="F20" s="1894" cm="1">
        <f t="array" ref="F20">IF(Control!$H$10=Control!$J$10, (INDEX('CC OM Costs'!$K$36:$O$65, MATCH('O&amp;M Costs - CC'!$R20, 'CC OM Costs'!$D$36:$D$65, 0),F$10))/1000000, "-")</f>
        <v>1.544</v>
      </c>
      <c r="G20" s="1894" cm="1">
        <f t="array" ref="G20">IF(Control!$H$10=Control!$J$10, (INDEX('CC OM Costs'!$K$36:$O$65, MATCH('O&amp;M Costs - CC'!$R20, 'CC OM Costs'!$D$36:$D$65, 0),G$10))/1000000, "-")</f>
        <v>1.645</v>
      </c>
      <c r="H20" s="1895" cm="1">
        <f t="array" ref="H20">IF(Control!$H$10=Control!$J$10, (INDEX('CC OM Costs'!$K$36:$O$65, MATCH('O&amp;M Costs - CC'!$R20, 'CC OM Costs'!$D$36:$D$65, 0),H$10))/10^6, "-")</f>
        <v>1.1120000000000001</v>
      </c>
      <c r="I20" s="1896" cm="1">
        <f t="array" ref="I20">IF(Control!$H$10=Control!$J$10, (INDEX('CC OM Costs'!$K$36:$O$65, MATCH('O&amp;M Costs - CC'!$R20, 'CC OM Costs'!$D$36:$D$65, 0),I$10))/1000000, "-")</f>
        <v>1.3149999999999999</v>
      </c>
      <c r="J20" s="1896" cm="1">
        <f t="array" ref="J20">IF(Control!$H$10=Control!$J$10, (INDEX('CC OM Costs'!$K$36:$O$65, MATCH('O&amp;M Costs - CC'!$R20, 'CC OM Costs'!$D$36:$D$65, 0),J$10))/1000000, "-")</f>
        <v>1.49</v>
      </c>
      <c r="K20" s="1896"/>
      <c r="L20" s="1894" cm="1">
        <f t="array" ref="L20">IF(Control!$H$10=Control!$J$10, (INDEX('CC OM Costs'!$R$36:$V$65, MATCH('O&amp;M Costs - CC'!$R20, 'CC OM Costs'!$D$36:$D$65, 0),L$10))/1000000, "-")</f>
        <v>1.6819243136759412</v>
      </c>
      <c r="M20" s="1894" cm="1">
        <f t="array" ref="M20">IF(Control!$H$10=Control!$J$10, (INDEX('CC OM Costs'!$R$36:$V$65, MATCH('O&amp;M Costs - CC'!$R20, 'CC OM Costs'!$D$36:$D$65, 0),M$10))/1000000, "-")</f>
        <v>1.7919465647648467</v>
      </c>
      <c r="N20" s="1894" cm="1">
        <f t="array" ref="N20">IF(Control!$H$10=Control!$J$10, (INDEX('CC OM Costs'!$R$36:$V$65, MATCH('O&amp;M Costs - CC'!$R20, 'CC OM Costs'!$D$36:$D$65, 0),N$10))/1000000, "-")</f>
        <v>1.2113340911966624</v>
      </c>
      <c r="O20" s="1894" cm="1">
        <f t="array" ref="O20">IF(Control!$H$10=Control!$J$10, (INDEX('CC OM Costs'!$R$36:$V$65, MATCH('O&amp;M Costs - CC'!$R20, 'CC OM Costs'!$D$36:$D$65, 0),O$10))/1000000, "-")</f>
        <v>1.4324679225931753</v>
      </c>
      <c r="P20" s="1894" cm="1">
        <f t="array" ref="P20">IF(Control!$H$10=Control!$J$10, (INDEX('CC OM Costs'!$R$36:$V$65, MATCH('O&amp;M Costs - CC'!$R20, 'CC OM Costs'!$D$36:$D$65, 0),P$10))/1000000, "-")</f>
        <v>1.6231005358660313</v>
      </c>
      <c r="Q20" s="993"/>
      <c r="R20" s="66" t="str">
        <f>'CC OM Costs'!$D44</f>
        <v>Asset Management</v>
      </c>
      <c r="S20" s="993"/>
      <c r="U20" s="993"/>
      <c r="V20" s="993"/>
      <c r="W20" s="993"/>
    </row>
    <row r="21" spans="1:23" ht="15" customHeight="1" x14ac:dyDescent="0.35">
      <c r="B21" s="1543"/>
      <c r="D21" s="1562" t="str">
        <f t="shared" si="0"/>
        <v>Property Taxes</v>
      </c>
      <c r="E21" s="1897"/>
      <c r="F21" s="1871" cm="1">
        <f t="array" ref="F21">IF(Control!$H$10=Control!$J$10, (INDEX('CC OM Costs'!$K$36:$O$65, MATCH('O&amp;M Costs - CC'!$R21, 'CC OM Costs'!$D$36:$D$65, 0),F$10))/1000000, "-")</f>
        <v>3.2231230996250266</v>
      </c>
      <c r="G21" s="1871" cm="1">
        <f t="array" ref="G21">IF(Control!$H$10=Control!$J$10, (INDEX('CC OM Costs'!$K$36:$O$65, MATCH('O&amp;M Costs - CC'!$R21, 'CC OM Costs'!$D$36:$D$65, 0),G$10))/1000000, "-")</f>
        <v>22.853216879127753</v>
      </c>
      <c r="H21" s="1898" cm="1">
        <f t="array" ref="H21">IF(Control!$H$10=Control!$J$10, (INDEX('CC OM Costs'!$K$36:$O$65, MATCH('O&amp;M Costs - CC'!$R21, 'CC OM Costs'!$D$36:$D$65, 0),H$10))/1000000, "-")</f>
        <v>12.510441762216441</v>
      </c>
      <c r="I21" s="1870" cm="1">
        <f t="array" ref="I21">IF(Control!$H$10=Control!$J$10, (INDEX('CC OM Costs'!$K$36:$O$65, MATCH('O&amp;M Costs - CC'!$R21, 'CC OM Costs'!$D$36:$D$65, 0),I$10))/1000000, "-")</f>
        <v>4.0672059832050467</v>
      </c>
      <c r="J21" s="1870" cm="1">
        <f t="array" ref="J21">IF(Control!$H$10=Control!$J$10, (INDEX('CC OM Costs'!$K$36:$O$65, MATCH('O&amp;M Costs - CC'!$R21, 'CC OM Costs'!$D$36:$D$65, 0),J$10))/1000000, "-")</f>
        <v>3.0360349818217092</v>
      </c>
      <c r="K21" s="1870"/>
      <c r="L21" s="1871" cm="1">
        <f t="array" aca="1" ref="L21" ca="1">IF(Control!$H$10=Control!$J$10, (INDEX('CC OM Costs'!$R$36:$V$65, MATCH('O&amp;M Costs - CC'!$R21, 'CC OM Costs'!$D$36:$D$65, 0),L$10))/1000000, "-")</f>
        <v>3.3133085900105019</v>
      </c>
      <c r="M21" s="1871" cm="1">
        <f t="array" aca="1" ref="M21" ca="1">IF(Control!$H$10=Control!$J$10, (INDEX('CC OM Costs'!$R$36:$V$65, MATCH('O&amp;M Costs - CC'!$R21, 'CC OM Costs'!$D$36:$D$65, 0),M$10))/1000000, "-")</f>
        <v>22.904029786305614</v>
      </c>
      <c r="N21" s="1871" cm="1">
        <f t="array" aca="1" ref="N21" ca="1">IF(Control!$H$10=Control!$J$10, (INDEX('CC OM Costs'!$R$36:$V$65, MATCH('O&amp;M Costs - CC'!$R21, 'CC OM Costs'!$D$36:$D$65, 0),N$10))/1000000, "-")</f>
        <v>12.582163883989281</v>
      </c>
      <c r="O21" s="1871" cm="1">
        <f t="array" aca="1" ref="O21" ca="1">IF(Control!$H$10=Control!$J$10, (INDEX('CC OM Costs'!$R$36:$V$65, MATCH('O&amp;M Costs - CC'!$R21, 'CC OM Costs'!$D$36:$D$65, 0),O$10))/1000000, "-")</f>
        <v>4.1810095689684195</v>
      </c>
      <c r="P21" s="1871" cm="1">
        <f t="array" aca="1" ref="P21" ca="1">IF(Control!$H$10=Control!$J$10, (INDEX('CC OM Costs'!$R$36:$V$65, MATCH('O&amp;M Costs - CC'!$R21, 'CC OM Costs'!$D$36:$D$65, 0),P$10))/1000000, "-")</f>
        <v>3.120985601205406</v>
      </c>
      <c r="Q21" s="993"/>
      <c r="R21" s="66" t="str">
        <f>'CC OM Costs'!$D46</f>
        <v>Property Taxes</v>
      </c>
      <c r="S21" s="993"/>
      <c r="U21" s="993"/>
      <c r="V21" s="993"/>
      <c r="W21" s="993"/>
    </row>
    <row r="22" spans="1:23" ht="15" customHeight="1" x14ac:dyDescent="0.35">
      <c r="D22" s="63" t="str">
        <f t="shared" si="0"/>
        <v>Insurance</v>
      </c>
      <c r="E22" s="1893"/>
      <c r="F22" s="1894" cm="1">
        <f t="array" ref="F22">IF(Control!$H$10=Control!$J$10, (INDEX('CC OM Costs'!$K$36:$O$65, MATCH('O&amp;M Costs - CC'!$R22, 'CC OM Costs'!$D$36:$D$65, 0),F$10))/1000000, "-")</f>
        <v>11.707881702603983</v>
      </c>
      <c r="G22" s="1894" cm="1">
        <f t="array" ref="G22">IF(Control!$H$10=Control!$J$10, (INDEX('CC OM Costs'!$K$36:$O$65, MATCH('O&amp;M Costs - CC'!$R22, 'CC OM Costs'!$D$36:$D$65, 0),G$10))/1000000, "-")</f>
        <v>10.900091413358018</v>
      </c>
      <c r="H22" s="1895" cm="1">
        <f t="array" ref="H22">IF(Control!$H$10=Control!$J$10, (INDEX('CC OM Costs'!$K$36:$O$65, MATCH('O&amp;M Costs - CC'!$R22, 'CC OM Costs'!$D$36:$D$65, 0),H$10))/10^6, "-")</f>
        <v>10.852991772110636</v>
      </c>
      <c r="I22" s="1896" cm="1">
        <f t="array" ref="I22">IF(Control!$H$10=Control!$J$10, (INDEX('CC OM Costs'!$K$36:$O$65, MATCH('O&amp;M Costs - CC'!$R22, 'CC OM Costs'!$D$36:$D$65, 0),I$10))/1000000, "-")</f>
        <v>11.169484440675538</v>
      </c>
      <c r="J22" s="1896" cm="1">
        <f t="array" ref="J22">IF(Control!$H$10=Control!$J$10, (INDEX('CC OM Costs'!$K$36:$O$65, MATCH('O&amp;M Costs - CC'!$R22, 'CC OM Costs'!$D$36:$D$65, 0),J$10))/1000000, "-")</f>
        <v>12.758091306237764</v>
      </c>
      <c r="K22" s="1896"/>
      <c r="L22" s="1894" cm="1">
        <f t="array" ref="L22">IF(Control!$H$10=Control!$J$10, (INDEX('CC OM Costs'!$R$36:$V$65, MATCH('O&amp;M Costs - CC'!$R22, 'CC OM Costs'!$D$36:$D$65, 0),L$10))/1000000, "-")</f>
        <v>11.736620085051127</v>
      </c>
      <c r="M22" s="1894" cm="1">
        <f t="array" ref="M22">IF(Control!$H$10=Control!$J$10, (INDEX('CC OM Costs'!$R$36:$V$65, MATCH('O&amp;M Costs - CC'!$R22, 'CC OM Costs'!$D$36:$D$65, 0),M$10))/1000000, "-")</f>
        <v>10.918022554829861</v>
      </c>
      <c r="N22" s="1894" cm="1">
        <f t="array" ref="N22">IF(Control!$H$10=Control!$J$10, (INDEX('CC OM Costs'!$R$36:$V$65, MATCH('O&amp;M Costs - CC'!$R22, 'CC OM Costs'!$D$36:$D$65, 0),N$10))/1000000, "-")</f>
        <v>10.868088510725061</v>
      </c>
      <c r="O22" s="1894" cm="1">
        <f t="array" ref="O22">IF(Control!$H$10=Control!$J$10, (INDEX('CC OM Costs'!$R$36:$V$65, MATCH('O&amp;M Costs - CC'!$R22, 'CC OM Costs'!$D$36:$D$65, 0),O$10))/1000000, "-")</f>
        <v>11.186966070505784</v>
      </c>
      <c r="P22" s="1894" cm="1">
        <f t="array" ref="P22">IF(Control!$H$10=Control!$J$10, (INDEX('CC OM Costs'!$R$36:$V$65, MATCH('O&amp;M Costs - CC'!$R22, 'CC OM Costs'!$D$36:$D$65, 0),P$10))/1000000, "-")</f>
        <v>12.800371321914279</v>
      </c>
      <c r="Q22" s="993"/>
      <c r="R22" s="66" t="str">
        <f>'CC OM Costs'!$D45</f>
        <v>Insurance</v>
      </c>
      <c r="S22" s="993"/>
      <c r="U22" s="993"/>
      <c r="V22" s="993"/>
      <c r="W22" s="993"/>
    </row>
    <row r="23" spans="1:23" ht="15" customHeight="1" x14ac:dyDescent="0.35">
      <c r="A23" s="83"/>
      <c r="B23" s="83"/>
      <c r="C23" s="83"/>
      <c r="D23" s="1596" t="str">
        <f t="shared" si="0"/>
        <v>Firm Gas Contract</v>
      </c>
      <c r="E23" s="1897"/>
      <c r="F23" s="1871" cm="1">
        <f t="array" ref="F23">IF(Control!$H$10=Control!$J$10, (INDEX('CC OM Costs'!$K$36:$O$65, MATCH('O&amp;M Costs - CC'!$R23, 'CC OM Costs'!$D$36:$D$65, 0),F$10))/1000000, "-")</f>
        <v>9.8562522821634015</v>
      </c>
      <c r="G23" s="1871" cm="1">
        <f t="array" ref="G23">IF(Control!$H$10=Control!$J$10, (INDEX('CC OM Costs'!$K$36:$O$65, MATCH('O&amp;M Costs - CC'!$R23, 'CC OM Costs'!$D$36:$D$65, 0),G$10))/1000000, "-")</f>
        <v>18.759821782400156</v>
      </c>
      <c r="H23" s="1898" cm="1">
        <f t="array" ref="H23">IF(Control!$H$10=Control!$J$10, (INDEX('CC OM Costs'!$K$36:$O$65, MATCH('O&amp;M Costs - CC'!$R23, 'CC OM Costs'!$D$36:$D$65, 0),H$10))/10^6, "-")</f>
        <v>24.06052592687217</v>
      </c>
      <c r="I23" s="1870" cm="1">
        <f t="array" ref="I23">IF(Control!$H$10=Control!$J$10, (INDEX('CC OM Costs'!$K$36:$O$65, MATCH('O&amp;M Costs - CC'!$R23, 'CC OM Costs'!$D$36:$D$65, 0),I$10))/1000000, "-")</f>
        <v>17.165831519580482</v>
      </c>
      <c r="J23" s="1870" cm="1">
        <f t="array" ref="J23">IF(Control!$H$10=Control!$J$10, (INDEX('CC OM Costs'!$K$36:$O$65, MATCH('O&amp;M Costs - CC'!$R23, 'CC OM Costs'!$D$36:$D$65, 0),J$10))/1000000, "-")</f>
        <v>7.8617804570438405</v>
      </c>
      <c r="K23" s="1870"/>
      <c r="L23" s="1871" cm="1">
        <f t="array" ref="L23">IF(Control!$H$10=Control!$J$10, (INDEX('CC OM Costs'!$R$36:$V$65, MATCH('O&amp;M Costs - CC'!$R23, 'CC OM Costs'!$D$36:$D$65, 0),L$10))/1000000, "-")</f>
        <v>10.736703597859204</v>
      </c>
      <c r="M23" s="1871" cm="1">
        <f t="array" ref="M23">IF(Control!$H$10=Control!$J$10, (INDEX('CC OM Costs'!$R$36:$V$65, MATCH('O&amp;M Costs - CC'!$R23, 'CC OM Costs'!$D$36:$D$65, 0),M$10))/1000000, "-")</f>
        <v>20.435622005211371</v>
      </c>
      <c r="N23" s="1871" cm="1">
        <f t="array" ref="N23">IF(Control!$H$10=Control!$J$10, (INDEX('CC OM Costs'!$R$36:$V$65, MATCH('O&amp;M Costs - CC'!$R23, 'CC OM Costs'!$D$36:$D$65, 0),N$10))/1000000, "-")</f>
        <v>26.209833909479709</v>
      </c>
      <c r="O23" s="1871" cm="1">
        <f t="array" ref="O23">IF(Control!$H$10=Control!$J$10, (INDEX('CC OM Costs'!$R$36:$V$65, MATCH('O&amp;M Costs - CC'!$R23, 'CC OM Costs'!$D$36:$D$65, 0),O$10))/1000000, "-")</f>
        <v>18.699241837595366</v>
      </c>
      <c r="P23" s="1871" cm="1">
        <f t="array" ref="P23">IF(Control!$H$10=Control!$J$10, (INDEX('CC OM Costs'!$R$36:$V$65, MATCH('O&amp;M Costs - CC'!$R23, 'CC OM Costs'!$D$36:$D$65, 0),P$10))/1000000, "-")</f>
        <v>8.5640671628784908</v>
      </c>
      <c r="Q23" s="1414"/>
      <c r="R23" s="975" t="str">
        <f>'CC OM Costs'!$D47</f>
        <v>Firm Gas Contract</v>
      </c>
      <c r="S23" s="993"/>
      <c r="U23" s="993"/>
      <c r="V23" s="993"/>
      <c r="W23" s="993"/>
    </row>
    <row r="24" spans="1:23" ht="15" customHeight="1" x14ac:dyDescent="0.35">
      <c r="A24" s="83"/>
      <c r="B24" s="83"/>
      <c r="C24" s="83"/>
      <c r="D24" s="63" t="str">
        <f t="shared" si="0"/>
        <v>Interest on Working Capital</v>
      </c>
      <c r="E24" s="1893"/>
      <c r="F24" s="1894" cm="1">
        <f t="array" ref="F24">IF(Control!$H$10=Control!$J$10, (INDEX('CC OM Costs'!$K$36:$O$65, MATCH('O&amp;M Costs - CC'!$R24, 'CC OM Costs'!$D$36:$D$65, 0),F$10))/1000000, "-")</f>
        <v>0.57214086689410426</v>
      </c>
      <c r="G24" s="1894" cm="1">
        <f t="array" ref="G24">IF(Control!$H$10=Control!$J$10, (INDEX('CC OM Costs'!$K$36:$O$65, MATCH('O&amp;M Costs - CC'!$R24, 'CC OM Costs'!$D$36:$D$65, 0),G$10))/1000000, "-")</f>
        <v>0.53266576387397102</v>
      </c>
      <c r="H24" s="1895" cm="1">
        <f t="array" ref="H24">IF(Control!$H$10=Control!$J$10, (INDEX('CC OM Costs'!$K$36:$O$65, MATCH('O&amp;M Costs - CC'!$R24, 'CC OM Costs'!$D$36:$D$65, 0),H$10))/1000000, "-")</f>
        <v>0.53036409818771091</v>
      </c>
      <c r="I24" s="1896" cm="1">
        <f t="array" ref="I24">IF(Control!$H$10=Control!$J$10, (INDEX('CC OM Costs'!$K$36:$O$65, MATCH('O&amp;M Costs - CC'!$R24, 'CC OM Costs'!$D$36:$D$65, 0),I$10))/1000000, "-")</f>
        <v>0.54583046472249364</v>
      </c>
      <c r="J24" s="1896" cm="1">
        <f t="array" ref="J24">IF(Control!$H$10=Control!$J$10, (INDEX('CC OM Costs'!$K$36:$O$65, MATCH('O&amp;M Costs - CC'!$R24, 'CC OM Costs'!$D$36:$D$65, 0),J$10))/1000000, "-")</f>
        <v>0.62346251912004935</v>
      </c>
      <c r="K24" s="1896"/>
      <c r="L24" s="1894" cm="1">
        <f t="array" ref="L24">IF(Control!$H$10=Control!$J$10, (INDEX('CC OM Costs'!$R$36:$V$65, MATCH('O&amp;M Costs - CC'!$R24, 'CC OM Costs'!$D$36:$D$65, 0),L$10))/1000000, "-")</f>
        <v>0.57354525442244653</v>
      </c>
      <c r="M24" s="1894" cm="1">
        <f t="array" ref="M24">IF(Control!$H$10=Control!$J$10, (INDEX('CC OM Costs'!$R$36:$V$65, MATCH('O&amp;M Costs - CC'!$R24, 'CC OM Costs'!$D$36:$D$65, 0),M$10))/1000000, "-")</f>
        <v>0.53354202305446985</v>
      </c>
      <c r="N24" s="1894" cm="1">
        <f t="array" ref="N24">IF(Control!$H$10=Control!$J$10, (INDEX('CC OM Costs'!$R$36:$V$65, MATCH('O&amp;M Costs - CC'!$R24, 'CC OM Costs'!$D$36:$D$65, 0),N$10))/1000000, "-")</f>
        <v>0.53110184574423147</v>
      </c>
      <c r="O24" s="1894" cm="1">
        <f t="array" ref="O24">IF(Control!$H$10=Control!$J$10, (INDEX('CC OM Costs'!$R$36:$V$65, MATCH('O&amp;M Costs - CC'!$R24, 'CC OM Costs'!$D$36:$D$65, 0),O$10))/1000000, "-")</f>
        <v>0.5466847571641037</v>
      </c>
      <c r="P24" s="1894" cm="1">
        <f t="array" ref="P24">IF(Control!$H$10=Control!$J$10, (INDEX('CC OM Costs'!$R$36:$V$65, MATCH('O&amp;M Costs - CC'!$R24, 'CC OM Costs'!$D$36:$D$65, 0),P$10))/1000000, "-")</f>
        <v>0.6255286593011613</v>
      </c>
      <c r="Q24" s="993"/>
      <c r="R24" s="975" t="str">
        <f>'CC OM Costs'!$D48</f>
        <v>Interest on Working Capital</v>
      </c>
      <c r="S24" s="993"/>
      <c r="U24" s="993"/>
      <c r="V24" s="993"/>
      <c r="W24" s="993"/>
    </row>
    <row r="25" spans="1:23" ht="6" customHeight="1" x14ac:dyDescent="0.35">
      <c r="A25" s="83"/>
      <c r="B25" s="83"/>
      <c r="C25" s="83"/>
      <c r="D25" s="1442"/>
      <c r="E25" s="1541"/>
      <c r="F25" s="1519"/>
      <c r="G25" s="1519"/>
      <c r="H25" s="1542"/>
      <c r="I25" s="1517"/>
      <c r="J25" s="1517"/>
      <c r="K25" s="1517"/>
      <c r="L25" s="1519"/>
      <c r="M25" s="1519"/>
      <c r="N25" s="1519"/>
      <c r="O25" s="1519"/>
      <c r="P25" s="1519"/>
      <c r="Q25" s="993"/>
      <c r="R25" s="66"/>
      <c r="S25" s="993"/>
      <c r="U25" s="993"/>
      <c r="V25" s="993"/>
      <c r="W25" s="993"/>
    </row>
    <row r="26" spans="1:23" s="1498" customFormat="1" ht="15" customHeight="1" x14ac:dyDescent="0.35">
      <c r="D26" s="1979" t="s">
        <v>492</v>
      </c>
      <c r="E26" s="1901"/>
      <c r="F26" s="1314">
        <f>IF(Control!$H$10=Control!$J$10,SUM(F16:F24),"-")</f>
        <v>41.508397951286518</v>
      </c>
      <c r="G26" s="1314">
        <f>IF(Control!$H$10=Control!$J$10,SUM(G16:G24),"-")</f>
        <v>69.758795838759895</v>
      </c>
      <c r="H26" s="1322">
        <f>IF(Control!$H$10=Control!$J$10,SUM(H16:H24),"-")</f>
        <v>61.619323559386963</v>
      </c>
      <c r="I26" s="1859">
        <f>IF(Control!$H$10=Control!$J$10,SUM(I16:I24),"-")</f>
        <v>47.914352408183554</v>
      </c>
      <c r="J26" s="1859">
        <f>IF(Control!$H$10=Control!$J$10,SUM(J16:J24),"-")</f>
        <v>40.093369264223362</v>
      </c>
      <c r="K26" s="1132"/>
      <c r="L26" s="961">
        <f ca="1">IF(Control!$H$10=Control!$J$10,SUM(L16:L24),"-")</f>
        <v>43.951755080162442</v>
      </c>
      <c r="M26" s="961">
        <f ca="1">IF(Control!$H$10=Control!$J$10,SUM(M16:M24),"-")</f>
        <v>72.997175601568415</v>
      </c>
      <c r="N26" s="961">
        <f ca="1">IF(Control!$H$10=Control!$J$10,SUM(N16:N24),"-")</f>
        <v>65.076871923501585</v>
      </c>
      <c r="O26" s="961">
        <f ca="1">IF(Control!$H$10=Control!$J$10,SUM(O16:O24),"-")</f>
        <v>50.916803321328324</v>
      </c>
      <c r="P26" s="961">
        <f ca="1">IF(Control!$H$10=Control!$J$10,SUM(P16:P24),"-")</f>
        <v>42.337605009853313</v>
      </c>
      <c r="Q26" s="993"/>
      <c r="R26" s="66" t="str">
        <f>'CC OM Costs'!$D$51</f>
        <v>Total Fixed O&amp;M Cost</v>
      </c>
      <c r="S26" s="993"/>
      <c r="U26" s="993"/>
      <c r="V26" s="993"/>
      <c r="W26" s="993"/>
    </row>
    <row r="27" spans="1:23" s="1498" customFormat="1" ht="15" customHeight="1" x14ac:dyDescent="0.35">
      <c r="D27" s="1980" t="s">
        <v>558</v>
      </c>
      <c r="E27" s="1544"/>
      <c r="F27" s="1302">
        <f>IF(Control!$H$10=Control!$J$10,(F26*10^6)/(F12*10^3),"-")</f>
        <v>32.198992919428449</v>
      </c>
      <c r="G27" s="1302">
        <f>IF(Control!$H$10=Control!$J$10,(G26*10^6)/(G12*10^3),"-")</f>
        <v>54.1061135990183</v>
      </c>
      <c r="H27" s="1545">
        <f>IF(Control!$H$10=Control!$J$10,(H26*10^6)/(H12*10^3),"-")</f>
        <v>48.285556770542321</v>
      </c>
      <c r="I27" s="1524">
        <f>IF(Control!$H$10=Control!$J$10,(I26*10^6)/(I12*10^3),"-")</f>
        <v>37.920154427441496</v>
      </c>
      <c r="J27" s="1524">
        <f>IF(Control!$H$10=Control!$J$10,(J26*10^6)/(J12*10^3),"-")</f>
        <v>30.988846239158573</v>
      </c>
      <c r="K27" s="1517"/>
      <c r="L27" s="1519">
        <f ca="1">IF(Control!$H$10=Control!$J$10,(L26*10^6)/(L12*10^3),"-")</f>
        <v>34.094359707244273</v>
      </c>
      <c r="M27" s="1519">
        <f ca="1">IF(Control!$H$10=Control!$J$10,(M26*10^6)/(M12*10^3),"-")</f>
        <v>56.617856257654111</v>
      </c>
      <c r="N27" s="1519">
        <f ca="1">IF(Control!$H$10=Control!$J$10,(N26*10^6)/(N12*10^3),"-")</f>
        <v>50.994928412076995</v>
      </c>
      <c r="O27" s="1519">
        <f ca="1">IF(Control!$H$10=Control!$J$10,(O26*10^6)/(O12*10^3),"-")</f>
        <v>40.296340195691954</v>
      </c>
      <c r="P27" s="1519">
        <f ca="1">IF(Control!$H$10=Control!$J$10,(P26*10^6)/(P12*10^3),"-")</f>
        <v>32.723454173638359</v>
      </c>
      <c r="Q27" s="993"/>
      <c r="R27" s="66"/>
      <c r="S27" s="993"/>
      <c r="U27" s="993"/>
      <c r="V27" s="993"/>
      <c r="W27" s="993"/>
    </row>
    <row r="28" spans="1:23" s="1498" customFormat="1" ht="15" customHeight="1" x14ac:dyDescent="0.35">
      <c r="D28" s="1981" t="s">
        <v>555</v>
      </c>
      <c r="E28" s="1901"/>
      <c r="F28" s="1314">
        <f>IF(Control!$H$10=Control!$J$10,L28/(1+'CC OM Costs'!$H$19),"-")</f>
        <v>37.397545698413985</v>
      </c>
      <c r="G28" s="1314">
        <f>IF(Control!$H$10=Control!$J$10,M28/(1+'CC OM Costs'!$H$19),"-")</f>
        <v>55.564487589425603</v>
      </c>
      <c r="H28" s="1322">
        <f>IF(Control!$H$10=Control!$J$10,N28/(1+'CC OM Costs'!$H$19),"-")</f>
        <v>52.760513692965702</v>
      </c>
      <c r="I28" s="1859">
        <f>IF(Control!$H$10=Control!$J$10,O28/(1+'CC OM Costs'!$H$19),"-")</f>
        <v>44.125462497809444</v>
      </c>
      <c r="J28" s="1859">
        <f>IF(Control!$H$10=Control!$J$10,P28/(1+'CC OM Costs'!$H$19),"-")</f>
        <v>35.045064486142032</v>
      </c>
      <c r="K28" s="1132"/>
      <c r="L28" s="961">
        <f>IF(Control!$H$10=Control!$J$10, _xlfn.XLOOKUP(L$11,Control!$I$79:$M$79,Control!$I$89:$M$89), "-")</f>
        <v>40.738239237026939</v>
      </c>
      <c r="M28" s="961">
        <f>IF(Control!$H$10=Control!$J$10, _xlfn.XLOOKUP(M$11,Control!$I$79:$M$79,Control!$I$89:$M$89), "-")</f>
        <v>60.528019853367887</v>
      </c>
      <c r="N28" s="961">
        <f>IF(Control!$H$10=Control!$J$10, _xlfn.XLOOKUP(N$11,Control!$I$79:$M$79,Control!$I$89:$M$89), "-")</f>
        <v>57.47356915947632</v>
      </c>
      <c r="O28" s="961">
        <f>IF(Control!$H$10=Control!$J$10, _xlfn.XLOOKUP(O$11,Control!$I$79:$M$79,Control!$I$89:$M$89), "-")</f>
        <v>48.067155587604688</v>
      </c>
      <c r="P28" s="961">
        <f>IF(Control!$H$10=Control!$J$10, _xlfn.XLOOKUP(P$11,Control!$I$79:$M$79,Control!$I$89:$M$89), "-")</f>
        <v>38.175612716051518</v>
      </c>
      <c r="Q28" s="1014"/>
      <c r="R28" s="66" t="s">
        <v>205</v>
      </c>
      <c r="S28" s="993"/>
      <c r="U28" s="993"/>
      <c r="V28" s="993"/>
      <c r="W28" s="993"/>
    </row>
    <row r="29" spans="1:23" ht="6" customHeight="1" x14ac:dyDescent="0.35">
      <c r="D29" s="1297"/>
      <c r="E29" s="1546"/>
      <c r="F29" s="1547"/>
      <c r="G29" s="1547"/>
      <c r="H29" s="1548"/>
      <c r="I29" s="1549"/>
      <c r="J29" s="1549"/>
      <c r="K29" s="1549"/>
      <c r="L29" s="1547"/>
      <c r="M29" s="1547"/>
      <c r="N29" s="1547"/>
      <c r="O29" s="1547"/>
      <c r="P29" s="1547"/>
    </row>
    <row r="30" spans="1:23" ht="15" customHeight="1" x14ac:dyDescent="0.35">
      <c r="D30" s="1658" t="s">
        <v>569</v>
      </c>
      <c r="E30" s="1316"/>
      <c r="F30" s="1317"/>
      <c r="G30" s="1317"/>
      <c r="H30" s="1318"/>
      <c r="I30" s="1319"/>
      <c r="J30" s="1319"/>
      <c r="K30" s="1319"/>
      <c r="L30" s="1317"/>
      <c r="M30" s="1317"/>
      <c r="N30" s="1317"/>
      <c r="O30" s="1317"/>
      <c r="P30" s="1317"/>
    </row>
    <row r="31" spans="1:23" ht="15" customHeight="1" x14ac:dyDescent="0.35">
      <c r="D31" s="1899" t="s">
        <v>203</v>
      </c>
      <c r="E31" s="1900"/>
      <c r="F31" s="1894" cm="1">
        <f t="array" ref="F31">IF(Control!$H$10=Control!$J$10, (INDEX('CC OM Costs'!$K$56:$O$57, MATCH('O&amp;M Costs - CC'!$R31, 'CC OM Costs'!$D$56:$D$57, 0),F$10)), "-")</f>
        <v>1.7067628610827794</v>
      </c>
      <c r="G31" s="1894" cm="1">
        <f t="array" ref="G31">IF(Control!$H$10=Control!$J$10, (INDEX('CC OM Costs'!$K$56:$O$57, MATCH('O&amp;M Costs - CC'!$R31, 'CC OM Costs'!$D$56:$D$57, 0),G$10)), "-")</f>
        <v>1.7043784433769766</v>
      </c>
      <c r="H31" s="1895" cm="1">
        <f t="array" ref="H31">IF(Control!$H$10=Control!$J$10, (INDEX('CC OM Costs'!$K$56:$O$57, MATCH('O&amp;M Costs - CC'!$R31, 'CC OM Costs'!$D$56:$D$57, 0),H$10)), "-")</f>
        <v>1.7272501930871094</v>
      </c>
      <c r="I31" s="1896" cm="1">
        <f t="array" ref="I31">IF(Control!$H$10=Control!$J$10, (INDEX('CC OM Costs'!$K$56:$O$57, MATCH('O&amp;M Costs - CC'!$R31, 'CC OM Costs'!$D$56:$D$57, 0),I$10)), "-")</f>
        <v>1.7458972097387588</v>
      </c>
      <c r="J31" s="1896" cm="1">
        <f t="array" ref="J31">IF(Control!$H$10=Control!$J$10, (INDEX('CC OM Costs'!$K$56:$O$57, MATCH('O&amp;M Costs - CC'!$R31, 'CC OM Costs'!$D$56:$D$57, 0),J$10)), "-")</f>
        <v>1.7010071287662394</v>
      </c>
      <c r="K31" s="1896"/>
      <c r="L31" s="1894" cm="1">
        <f t="array" ref="L31">IF(Control!$H$10=Control!$J$10, (INDEX('CC OM Costs'!$R$56:$V$57, MATCH('O&amp;M Costs - CC'!$R31, 'CC OM Costs'!$D$56:$D$57, 0),L$10)), "-")</f>
        <v>1.8592266539729532</v>
      </c>
      <c r="M31" s="1894" cm="1">
        <f t="array" ref="M31">IF(Control!$H$10=Control!$J$10, (INDEX('CC OM Costs'!$R$56:$V$57, MATCH('O&amp;M Costs - CC'!$R31, 'CC OM Costs'!$D$56:$D$57, 0),M$10)), "-")</f>
        <v>1.8566292380964318</v>
      </c>
      <c r="N31" s="1894" cm="1">
        <f t="array" ref="N31">IF(Control!$H$10=Control!$J$10, (INDEX('CC OM Costs'!$R$56:$V$57, MATCH('O&amp;M Costs - CC'!$R31, 'CC OM Costs'!$D$56:$D$57, 0),N$10)), "-")</f>
        <v>1.881544103338519</v>
      </c>
      <c r="O31" s="1894" cm="1">
        <f t="array" ref="O31">IF(Control!$H$10=Control!$J$10, (INDEX('CC OM Costs'!$R$56:$V$57, MATCH('O&amp;M Costs - CC'!$R31, 'CC OM Costs'!$D$56:$D$57, 0),O$10)), "-")</f>
        <v>1.9018568434187841</v>
      </c>
      <c r="P31" s="1894" cm="1">
        <f t="array" ref="P31">IF(Control!$H$10=Control!$J$10, (INDEX('CC OM Costs'!$R$56:$V$57, MATCH('O&amp;M Costs - CC'!$R31, 'CC OM Costs'!$D$56:$D$57, 0),P$10)), "-")</f>
        <v>1.8529567665855184</v>
      </c>
      <c r="R31" s="143" t="str">
        <f>'CC OM Costs'!$D$56</f>
        <v>Major Maintenance - Hours Based</v>
      </c>
    </row>
    <row r="32" spans="1:23" ht="15" customHeight="1" x14ac:dyDescent="0.35">
      <c r="D32" s="683" t="s">
        <v>204</v>
      </c>
      <c r="E32" s="1897"/>
      <c r="F32" s="1871" cm="1">
        <f t="array" ref="F32">IF(Control!$H$10=Control!$J$10, (INDEX('CC OM Costs'!$K$56:$O$57, MATCH('O&amp;M Costs - CC'!$R32, 'CC OM Costs'!$D$56:$D$57, 0),F$10)), "-")</f>
        <v>0.70221417211773618</v>
      </c>
      <c r="G32" s="1871" cm="1">
        <f t="array" ref="G32">IF(Control!$H$10=Control!$J$10, (INDEX('CC OM Costs'!$K$56:$O$57, MATCH('O&amp;M Costs - CC'!$R32, 'CC OM Costs'!$D$56:$D$57, 0),G$10)), "-")</f>
        <v>0.70170383255787727</v>
      </c>
      <c r="H32" s="1898" cm="1">
        <f t="array" ref="H32">IF(Control!$H$10=Control!$J$10, (INDEX('CC OM Costs'!$K$56:$O$57, MATCH('O&amp;M Costs - CC'!$R32, 'CC OM Costs'!$D$56:$D$57, 0),H$10)), "-")</f>
        <v>0.70659909845523461</v>
      </c>
      <c r="I32" s="1870" cm="1">
        <f t="array" ref="I32">IF(Control!$H$10=Control!$J$10, (INDEX('CC OM Costs'!$K$56:$O$57, MATCH('O&amp;M Costs - CC'!$R32, 'CC OM Costs'!$D$56:$D$57, 0),I$10)), "-")</f>
        <v>0.71059014006154575</v>
      </c>
      <c r="J32" s="1870" cm="1">
        <f t="array" ref="J32">IF(Control!$H$10=Control!$J$10, (INDEX('CC OM Costs'!$K$56:$O$57, MATCH('O&amp;M Costs - CC'!$R32, 'CC OM Costs'!$D$56:$D$57, 0),J$10)), "-")</f>
        <v>0.70098226636148375</v>
      </c>
      <c r="K32" s="1870"/>
      <c r="L32" s="1871" cm="1">
        <f t="array" ref="L32">IF(Control!$H$10=Control!$J$10, (INDEX('CC OM Costs'!$R$56:$V$57, MATCH('O&amp;M Costs - CC'!$R32, 'CC OM Costs'!$D$56:$D$57, 0),L$10)), "-")</f>
        <v>0.76494241547450947</v>
      </c>
      <c r="M32" s="1871" cm="1">
        <f t="array" ref="M32">IF(Control!$H$10=Control!$J$10, (INDEX('CC OM Costs'!$R$56:$V$57, MATCH('O&amp;M Costs - CC'!$R32, 'CC OM Costs'!$D$56:$D$57, 0),M$10)), "-")</f>
        <v>0.76438648768049566</v>
      </c>
      <c r="N32" s="1871" cm="1">
        <f t="array" ref="N32">IF(Control!$H$10=Control!$J$10, (INDEX('CC OM Costs'!$R$56:$V$57, MATCH('O&amp;M Costs - CC'!$R32, 'CC OM Costs'!$D$56:$D$57, 0),N$10)), "-")</f>
        <v>0.7697190438558027</v>
      </c>
      <c r="O32" s="1871" cm="1">
        <f t="array" ref="O32">IF(Control!$H$10=Control!$J$10, (INDEX('CC OM Costs'!$R$56:$V$57, MATCH('O&amp;M Costs - CC'!$R32, 'CC OM Costs'!$D$56:$D$57, 0),O$10)), "-")</f>
        <v>0.77406660209061284</v>
      </c>
      <c r="P32" s="1871" cm="1">
        <f t="array" ref="P32">IF(Control!$H$10=Control!$J$10, (INDEX('CC OM Costs'!$R$56:$V$57, MATCH('O&amp;M Costs - CC'!$R32, 'CC OM Costs'!$D$56:$D$57, 0),P$10)), "-")</f>
        <v>0.76360046453953656</v>
      </c>
      <c r="R32" s="65" t="str">
        <f>'CC OM Costs'!$D$57</f>
        <v>Consumables</v>
      </c>
    </row>
    <row r="33" spans="2:18" ht="15" customHeight="1" x14ac:dyDescent="0.35">
      <c r="D33" s="1979" t="s">
        <v>266</v>
      </c>
      <c r="E33" s="1305"/>
      <c r="F33" s="1306">
        <f>IF(Control!$H$10=Control!$J$10,F$31+F$32, "-")</f>
        <v>2.4089770332005154</v>
      </c>
      <c r="G33" s="1306">
        <f>IF(Control!$H$10=Control!$J$10,G$31+G$32, "-")</f>
        <v>2.4060822759348541</v>
      </c>
      <c r="H33" s="1313">
        <f>IF(Control!$H$10=Control!$J$10,H$31+H$32, "-")</f>
        <v>2.433849291542344</v>
      </c>
      <c r="I33" s="1307">
        <f>IF(Control!$H$10=Control!$J$10,I$31+I$32, "-")</f>
        <v>2.4564873498003044</v>
      </c>
      <c r="J33" s="1307">
        <f>IF(Control!$H$10=Control!$J$10,J$31+J$32, "-")</f>
        <v>2.4019893951277229</v>
      </c>
      <c r="K33" s="1307"/>
      <c r="L33" s="1306">
        <f>IF(Control!$H$10=Control!$J$10,L$31+L$32, "-")</f>
        <v>2.6241690694474626</v>
      </c>
      <c r="M33" s="1306">
        <f>IF(Control!$H$10=Control!$J$10,M$31+M$32, "-")</f>
        <v>2.6210157257769273</v>
      </c>
      <c r="N33" s="1306">
        <f>IF(Control!$H$10=Control!$J$10,N$31+N$32, "-")</f>
        <v>2.6512631471943218</v>
      </c>
      <c r="O33" s="1306">
        <f>IF(Control!$H$10=Control!$J$10,O$31+O$32, "-")</f>
        <v>2.675923445509397</v>
      </c>
      <c r="P33" s="1306">
        <f>IF(Control!$H$10=Control!$J$10,P$31+P$32, "-")</f>
        <v>2.6165572311250549</v>
      </c>
    </row>
    <row r="34" spans="2:18" ht="6" customHeight="1" thickBot="1" x14ac:dyDescent="0.4">
      <c r="D34" s="1550"/>
      <c r="E34" s="1550"/>
      <c r="F34" s="1551"/>
      <c r="G34" s="1551"/>
      <c r="H34" s="1551"/>
      <c r="I34" s="1551"/>
      <c r="J34" s="1551"/>
      <c r="K34" s="1551"/>
      <c r="L34" s="1551"/>
      <c r="M34" s="1551"/>
      <c r="N34" s="1551"/>
      <c r="O34" s="1551"/>
      <c r="P34" s="1551"/>
    </row>
    <row r="35" spans="2:18" ht="6" customHeight="1" thickTop="1" x14ac:dyDescent="0.35">
      <c r="D35" s="1297"/>
      <c r="E35" s="1297"/>
      <c r="F35" s="1378"/>
      <c r="G35" s="1378"/>
      <c r="H35" s="1378"/>
      <c r="I35" s="1378"/>
      <c r="J35" s="1378"/>
      <c r="K35" s="1378"/>
      <c r="L35" s="1378"/>
      <c r="M35" s="1378"/>
      <c r="N35" s="1378"/>
      <c r="O35" s="1378"/>
      <c r="P35" s="1378"/>
    </row>
    <row r="36" spans="2:18" ht="15" customHeight="1" x14ac:dyDescent="0.35">
      <c r="D36" s="1397" t="s">
        <v>683</v>
      </c>
      <c r="E36" s="1397"/>
      <c r="F36" s="1452"/>
      <c r="G36" s="1452"/>
      <c r="H36" s="1452"/>
      <c r="I36" s="1452"/>
      <c r="J36" s="1452"/>
      <c r="K36" s="1452"/>
      <c r="L36" s="1452"/>
      <c r="M36" s="1451"/>
      <c r="N36" s="1552"/>
      <c r="O36" s="1452"/>
      <c r="P36" s="1452"/>
    </row>
    <row r="37" spans="2:18" ht="14.5" x14ac:dyDescent="0.35">
      <c r="B37" s="82"/>
      <c r="C37" s="82"/>
      <c r="D37" s="82"/>
      <c r="E37" s="82"/>
      <c r="F37" s="82"/>
      <c r="G37" s="82"/>
      <c r="H37" s="82"/>
      <c r="I37" s="82"/>
      <c r="J37" s="82"/>
      <c r="K37" s="82"/>
      <c r="L37" s="82"/>
      <c r="M37" s="82"/>
      <c r="N37" s="82"/>
      <c r="O37" s="82"/>
      <c r="P37" s="82"/>
      <c r="R37" s="94"/>
    </row>
    <row r="38" spans="2:18" ht="14.5" x14ac:dyDescent="0.35">
      <c r="B38" s="82"/>
      <c r="C38" s="82"/>
      <c r="D38" s="82"/>
      <c r="E38" s="82"/>
      <c r="F38" s="82"/>
      <c r="G38" s="82"/>
      <c r="H38" s="82"/>
      <c r="I38" s="82"/>
      <c r="J38" s="82"/>
      <c r="K38" s="82"/>
      <c r="L38" s="82"/>
      <c r="M38" s="82"/>
      <c r="N38" s="82"/>
      <c r="O38" s="82"/>
      <c r="P38" s="82"/>
      <c r="R38" s="94"/>
    </row>
    <row r="39" spans="2:18" ht="14.5" x14ac:dyDescent="0.35">
      <c r="D39" s="692"/>
      <c r="E39" s="692"/>
      <c r="F39" s="1534"/>
      <c r="G39" s="1534"/>
      <c r="H39" s="1534"/>
      <c r="I39" s="1534"/>
      <c r="J39" s="1534"/>
      <c r="K39" s="1534"/>
      <c r="L39" s="1534"/>
      <c r="M39" s="1534"/>
      <c r="N39" s="1534"/>
      <c r="O39" s="1534"/>
      <c r="P39" s="1534"/>
    </row>
    <row r="40" spans="2:18" ht="14.5" x14ac:dyDescent="0.35">
      <c r="D40" s="692"/>
      <c r="E40" s="692"/>
      <c r="F40" s="1536"/>
      <c r="G40" s="1536"/>
      <c r="H40" s="1536"/>
      <c r="I40" s="1536"/>
      <c r="J40" s="1536"/>
      <c r="K40" s="1536"/>
      <c r="L40" s="1536"/>
      <c r="M40" s="1536"/>
      <c r="N40" s="1536"/>
      <c r="O40" s="1536"/>
      <c r="P40" s="1536"/>
    </row>
    <row r="41" spans="2:18" ht="14.5" x14ac:dyDescent="0.35">
      <c r="D41" s="1538"/>
      <c r="E41" s="1538"/>
    </row>
    <row r="45" spans="2:18" ht="14.5" x14ac:dyDescent="0.35">
      <c r="D45" s="1539"/>
      <c r="E45" s="1539"/>
    </row>
    <row r="46" spans="2:18" ht="14.5" x14ac:dyDescent="0.35">
      <c r="D46" s="1539"/>
      <c r="E46" s="1539"/>
    </row>
    <row r="51" spans="4:96" s="32" customFormat="1" ht="14.5" x14ac:dyDescent="0.35">
      <c r="D51" s="31"/>
      <c r="E51" s="31"/>
      <c r="Q51" s="31"/>
      <c r="R51" s="65"/>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4:96" s="32" customFormat="1" ht="14.5" x14ac:dyDescent="0.35">
      <c r="D52" s="31"/>
      <c r="E52" s="31"/>
      <c r="Q52" s="31"/>
      <c r="R52" s="65"/>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4:96" s="32" customFormat="1" ht="14.5" x14ac:dyDescent="0.35">
      <c r="D53" s="31"/>
      <c r="E53" s="31"/>
      <c r="Q53" s="31"/>
      <c r="R53" s="65"/>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4:96" s="32" customFormat="1" ht="14.5" x14ac:dyDescent="0.35">
      <c r="D54" s="31"/>
      <c r="E54" s="31"/>
      <c r="Q54" s="31"/>
      <c r="R54" s="65"/>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row>
    <row r="55" spans="4:96" s="32" customFormat="1" ht="14.5" x14ac:dyDescent="0.35">
      <c r="D55" s="31"/>
      <c r="E55" s="31"/>
      <c r="Q55" s="31"/>
      <c r="R55" s="65"/>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row>
    <row r="56" spans="4:96" s="32" customFormat="1" ht="14.5" x14ac:dyDescent="0.35">
      <c r="D56" s="31"/>
      <c r="E56" s="31"/>
      <c r="Q56" s="31"/>
      <c r="R56" s="65"/>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row>
    <row r="57" spans="4:96" s="32" customFormat="1" ht="14.5" x14ac:dyDescent="0.35">
      <c r="D57" s="31"/>
      <c r="E57" s="31"/>
      <c r="Q57" s="31"/>
      <c r="R57" s="65"/>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row>
    <row r="58" spans="4:96" s="32" customFormat="1" ht="14.5" x14ac:dyDescent="0.35">
      <c r="D58" s="31"/>
      <c r="E58" s="31"/>
      <c r="Q58" s="31"/>
      <c r="R58" s="65"/>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row>
    <row r="59" spans="4:96" s="32" customFormat="1" ht="14.5" x14ac:dyDescent="0.35">
      <c r="D59" s="31"/>
      <c r="E59" s="31"/>
      <c r="Q59" s="31"/>
      <c r="R59" s="65"/>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row>
    <row r="60" spans="4:96" s="32" customFormat="1" ht="14.5" x14ac:dyDescent="0.35">
      <c r="D60" s="31"/>
      <c r="E60" s="31"/>
      <c r="Q60" s="31"/>
      <c r="R60" s="65"/>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row>
    <row r="61" spans="4:96" s="32" customFormat="1" ht="14.5" x14ac:dyDescent="0.35">
      <c r="D61" s="31"/>
      <c r="E61" s="31"/>
      <c r="Q61" s="31"/>
      <c r="R61" s="65"/>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row>
    <row r="62" spans="4:96" s="32" customFormat="1" ht="14.5" x14ac:dyDescent="0.35">
      <c r="D62" s="31"/>
      <c r="E62" s="31"/>
      <c r="Q62" s="31"/>
      <c r="R62" s="65"/>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row>
    <row r="63" spans="4:96" s="32" customFormat="1" ht="14.5" x14ac:dyDescent="0.35">
      <c r="D63" s="31"/>
      <c r="E63" s="31"/>
      <c r="Q63" s="31"/>
      <c r="R63" s="65"/>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row>
    <row r="64" spans="4:96" s="32" customFormat="1" ht="14.5" x14ac:dyDescent="0.35">
      <c r="D64" s="31"/>
      <c r="E64" s="31"/>
      <c r="Q64" s="31"/>
      <c r="R64" s="65"/>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row>
    <row r="65" spans="4:96" s="32" customFormat="1" ht="14.5" x14ac:dyDescent="0.35">
      <c r="D65" s="31"/>
      <c r="E65" s="31"/>
      <c r="Q65" s="31"/>
      <c r="R65" s="65"/>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row>
    <row r="66" spans="4:96" s="32" customFormat="1" ht="14.5" x14ac:dyDescent="0.35">
      <c r="D66" s="31"/>
      <c r="E66" s="31"/>
      <c r="Q66" s="31"/>
      <c r="R66" s="65"/>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row>
    <row r="67" spans="4:96" s="32" customFormat="1" ht="14.5" x14ac:dyDescent="0.35">
      <c r="D67" s="31"/>
      <c r="E67" s="31"/>
      <c r="Q67" s="31"/>
      <c r="R67" s="65"/>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row>
    <row r="68" spans="4:96" s="32" customFormat="1" ht="14.5" x14ac:dyDescent="0.35">
      <c r="D68" s="31"/>
      <c r="E68" s="31"/>
      <c r="Q68" s="31"/>
      <c r="R68" s="65"/>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row>
    <row r="69" spans="4:96" s="32" customFormat="1" ht="14.5" x14ac:dyDescent="0.35">
      <c r="D69" s="31"/>
      <c r="E69" s="31"/>
      <c r="Q69" s="31"/>
      <c r="R69" s="65"/>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row>
    <row r="70" spans="4:96" s="32" customFormat="1" ht="14.5" x14ac:dyDescent="0.35">
      <c r="D70" s="31"/>
      <c r="E70" s="31"/>
      <c r="Q70" s="31"/>
      <c r="R70" s="65"/>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row>
    <row r="71" spans="4:96" s="32" customFormat="1" ht="14.5" x14ac:dyDescent="0.35">
      <c r="D71" s="31"/>
      <c r="E71" s="31"/>
      <c r="Q71" s="31"/>
      <c r="R71" s="65"/>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row>
    <row r="72" spans="4:96" s="32" customFormat="1" ht="14.5" x14ac:dyDescent="0.35">
      <c r="D72" s="31"/>
      <c r="E72" s="31"/>
      <c r="Q72" s="31"/>
      <c r="R72" s="65"/>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row>
    <row r="73" spans="4:96" s="32" customFormat="1" ht="14.5" x14ac:dyDescent="0.35">
      <c r="D73" s="31"/>
      <c r="E73" s="31"/>
      <c r="Q73" s="31"/>
      <c r="R73" s="65"/>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row>
    <row r="74" spans="4:96" s="32" customFormat="1" ht="14.5" x14ac:dyDescent="0.35">
      <c r="D74" s="31"/>
      <c r="E74" s="31"/>
      <c r="Q74" s="31"/>
      <c r="R74" s="65"/>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row>
    <row r="75" spans="4:96" s="32" customFormat="1" ht="14.5" x14ac:dyDescent="0.35">
      <c r="D75" s="31"/>
      <c r="E75" s="31"/>
      <c r="Q75" s="31"/>
      <c r="R75" s="65"/>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row>
    <row r="76" spans="4:96" s="32" customFormat="1" ht="14.5" x14ac:dyDescent="0.35">
      <c r="D76" s="31"/>
      <c r="E76" s="31"/>
      <c r="Q76" s="31"/>
      <c r="R76" s="65"/>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row>
    <row r="77" spans="4:96" s="32" customFormat="1" ht="14.5" x14ac:dyDescent="0.35">
      <c r="D77" s="31"/>
      <c r="E77" s="31"/>
      <c r="Q77" s="31"/>
      <c r="R77" s="65"/>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row>
    <row r="78" spans="4:96" s="32" customFormat="1" ht="14.5" x14ac:dyDescent="0.35">
      <c r="D78" s="31"/>
      <c r="E78" s="31"/>
      <c r="Q78" s="31"/>
      <c r="R78" s="65"/>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row>
    <row r="79" spans="4:96" s="32" customFormat="1" ht="14.5" x14ac:dyDescent="0.35">
      <c r="D79" s="31"/>
      <c r="E79" s="31"/>
      <c r="Q79" s="31"/>
      <c r="R79" s="65"/>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row>
    <row r="80" spans="4:96" s="32" customFormat="1" ht="14.5" x14ac:dyDescent="0.35">
      <c r="D80" s="31"/>
      <c r="E80" s="31"/>
      <c r="Q80" s="31"/>
      <c r="R80" s="65"/>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row>
    <row r="81" spans="4:96" s="32" customFormat="1" ht="14.5" x14ac:dyDescent="0.35">
      <c r="D81" s="31"/>
      <c r="E81" s="31"/>
      <c r="Q81" s="31"/>
      <c r="R81" s="65"/>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row>
    <row r="82" spans="4:96" s="32" customFormat="1" ht="14.5" x14ac:dyDescent="0.35">
      <c r="D82" s="31"/>
      <c r="E82" s="31"/>
      <c r="Q82" s="31"/>
      <c r="R82" s="65"/>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row>
    <row r="83" spans="4:96" s="32" customFormat="1" ht="14.5" x14ac:dyDescent="0.35">
      <c r="D83" s="31"/>
      <c r="E83" s="31"/>
      <c r="Q83" s="31"/>
      <c r="R83" s="65"/>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row>
    <row r="84" spans="4:96" s="32" customFormat="1" ht="14.5" x14ac:dyDescent="0.35">
      <c r="D84" s="31"/>
      <c r="E84" s="31"/>
      <c r="Q84" s="31"/>
      <c r="R84" s="65"/>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row>
    <row r="85" spans="4:96" s="32" customFormat="1" ht="14.5" x14ac:dyDescent="0.35">
      <c r="D85" s="31"/>
      <c r="E85" s="31"/>
      <c r="Q85" s="31"/>
      <c r="R85" s="65"/>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row>
    <row r="86" spans="4:96" s="32" customFormat="1" ht="14.5" x14ac:dyDescent="0.35">
      <c r="D86" s="31"/>
      <c r="E86" s="31"/>
      <c r="Q86" s="31"/>
      <c r="R86" s="65"/>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row>
    <row r="87" spans="4:96" s="32" customFormat="1" ht="14.5" x14ac:dyDescent="0.35">
      <c r="D87" s="31"/>
      <c r="E87" s="31"/>
      <c r="Q87" s="31"/>
      <c r="R87" s="65"/>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row>
    <row r="88" spans="4:96" s="32" customFormat="1" ht="14.5" x14ac:dyDescent="0.35">
      <c r="D88" s="31"/>
      <c r="E88" s="31"/>
      <c r="Q88" s="31"/>
      <c r="R88" s="65"/>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row>
    <row r="89" spans="4:96" s="32" customFormat="1" ht="14.5" x14ac:dyDescent="0.35">
      <c r="D89" s="31"/>
      <c r="E89" s="31"/>
      <c r="Q89" s="31"/>
      <c r="R89" s="65"/>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row>
    <row r="90" spans="4:96" s="32" customFormat="1" ht="14.5" x14ac:dyDescent="0.35">
      <c r="D90" s="31"/>
      <c r="E90" s="31"/>
      <c r="Q90" s="31"/>
      <c r="R90" s="65"/>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row>
    <row r="91" spans="4:96" s="32" customFormat="1" ht="14.5" x14ac:dyDescent="0.35">
      <c r="D91" s="31"/>
      <c r="E91" s="31"/>
      <c r="Q91" s="31"/>
      <c r="R91" s="65"/>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row>
    <row r="92" spans="4:96" s="32" customFormat="1" ht="14.5" x14ac:dyDescent="0.35">
      <c r="D92" s="31"/>
      <c r="E92" s="31"/>
      <c r="Q92" s="31"/>
      <c r="R92" s="65"/>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row>
    <row r="93" spans="4:96" s="32" customFormat="1" ht="14.5" x14ac:dyDescent="0.35">
      <c r="D93" s="31"/>
      <c r="E93" s="31"/>
      <c r="Q93" s="31"/>
      <c r="R93" s="65"/>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row>
    <row r="94" spans="4:96" s="32" customFormat="1" ht="14.5" x14ac:dyDescent="0.35">
      <c r="D94" s="31"/>
      <c r="E94" s="31"/>
      <c r="Q94" s="31"/>
      <c r="R94" s="65"/>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row>
    <row r="95" spans="4:96" s="32" customFormat="1" ht="14.5" x14ac:dyDescent="0.35">
      <c r="D95" s="31"/>
      <c r="E95" s="31"/>
      <c r="Q95" s="31"/>
      <c r="R95" s="65"/>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row>
    <row r="96" spans="4:96" s="32" customFormat="1" ht="14.5" x14ac:dyDescent="0.35">
      <c r="D96" s="31"/>
      <c r="E96" s="31"/>
      <c r="Q96" s="31"/>
      <c r="R96" s="65"/>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row>
    <row r="97" spans="4:96" s="32" customFormat="1" ht="14.5" x14ac:dyDescent="0.35">
      <c r="D97" s="31"/>
      <c r="E97" s="31"/>
      <c r="Q97" s="31"/>
      <c r="R97" s="65"/>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row>
    <row r="98" spans="4:96" s="32" customFormat="1" ht="14.5" x14ac:dyDescent="0.35">
      <c r="D98" s="31"/>
      <c r="E98" s="31"/>
      <c r="Q98" s="31"/>
      <c r="R98" s="65"/>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row>
    <row r="99" spans="4:96" s="32" customFormat="1" ht="14.5" x14ac:dyDescent="0.35">
      <c r="D99" s="31"/>
      <c r="E99" s="31"/>
      <c r="Q99" s="31"/>
      <c r="R99" s="65"/>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row>
    <row r="100" spans="4:96" s="32" customFormat="1" ht="14.5" x14ac:dyDescent="0.35">
      <c r="D100" s="31"/>
      <c r="E100" s="31"/>
      <c r="Q100" s="31"/>
      <c r="R100" s="65"/>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row>
    <row r="101" spans="4:96" s="32" customFormat="1" ht="14.5" x14ac:dyDescent="0.35">
      <c r="D101" s="31"/>
      <c r="E101" s="31"/>
      <c r="Q101" s="31"/>
      <c r="R101" s="65"/>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row>
  </sheetData>
  <mergeCells count="3">
    <mergeCell ref="L7:P7"/>
    <mergeCell ref="R10:R11"/>
    <mergeCell ref="F7:J7"/>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16:H20 H22:H2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97B1-360A-4D2B-A222-FC69A07BBF6B}">
  <sheetPr codeName="Sheet14">
    <pageSetUpPr autoPageBreaks="0"/>
  </sheetPr>
  <dimension ref="A1:CT86"/>
  <sheetViews>
    <sheetView showGridLines="0" zoomScale="70" zoomScaleNormal="70" workbookViewId="0"/>
  </sheetViews>
  <sheetFormatPr defaultRowHeight="15" customHeight="1" outlineLevelRow="1" outlineLevelCol="1" x14ac:dyDescent="0.35"/>
  <cols>
    <col min="1" max="3" width="13.54296875" style="31" customWidth="1"/>
    <col min="4" max="4" width="39.1796875" style="31" bestFit="1" customWidth="1"/>
    <col min="5" max="5" width="0.81640625" style="31" customWidth="1"/>
    <col min="6" max="9" width="13.54296875" style="31" customWidth="1"/>
    <col min="10" max="10" width="13.81640625" style="32" customWidth="1" collapsed="1"/>
    <col min="11" max="11" width="0.81640625" style="32" customWidth="1"/>
    <col min="12" max="16" width="13.81640625" style="32" customWidth="1"/>
    <col min="17" max="18" width="13.1796875" style="82" customWidth="1"/>
    <col min="19" max="19" width="1.54296875" style="31" customWidth="1"/>
    <col min="20" max="20" width="36.54296875" style="1298" hidden="1" customWidth="1" outlineLevel="1"/>
    <col min="21" max="21" width="13.54296875" style="31" customWidth="1" collapsed="1"/>
    <col min="22" max="22" width="1.54296875" style="31" customWidth="1"/>
    <col min="23" max="25" width="13.54296875" style="31" customWidth="1"/>
    <col min="26" max="260" width="8.7265625" style="31"/>
    <col min="261" max="261" width="35" style="31" customWidth="1"/>
    <col min="262" max="265" width="14.453125" style="31" customWidth="1"/>
    <col min="266" max="266" width="2.453125" style="31" customWidth="1"/>
    <col min="267" max="270" width="14.453125" style="31" customWidth="1"/>
    <col min="271" max="271" width="2.453125" style="31" customWidth="1"/>
    <col min="272" max="272" width="52.453125" style="31" customWidth="1"/>
    <col min="273" max="516" width="8.7265625" style="31"/>
    <col min="517" max="517" width="35" style="31" customWidth="1"/>
    <col min="518" max="521" width="14.453125" style="31" customWidth="1"/>
    <col min="522" max="522" width="2.453125" style="31" customWidth="1"/>
    <col min="523" max="526" width="14.453125" style="31" customWidth="1"/>
    <col min="527" max="527" width="2.453125" style="31" customWidth="1"/>
    <col min="528" max="528" width="52.453125" style="31" customWidth="1"/>
    <col min="529" max="772" width="8.7265625" style="31"/>
    <col min="773" max="773" width="35" style="31" customWidth="1"/>
    <col min="774" max="777" width="14.453125" style="31" customWidth="1"/>
    <col min="778" max="778" width="2.453125" style="31" customWidth="1"/>
    <col min="779" max="782" width="14.453125" style="31" customWidth="1"/>
    <col min="783" max="783" width="2.453125" style="31" customWidth="1"/>
    <col min="784" max="784" width="52.453125" style="31" customWidth="1"/>
    <col min="785" max="1028" width="8.7265625" style="31"/>
    <col min="1029" max="1029" width="35" style="31" customWidth="1"/>
    <col min="1030" max="1033" width="14.453125" style="31" customWidth="1"/>
    <col min="1034" max="1034" width="2.453125" style="31" customWidth="1"/>
    <col min="1035" max="1038" width="14.453125" style="31" customWidth="1"/>
    <col min="1039" max="1039" width="2.453125" style="31" customWidth="1"/>
    <col min="1040" max="1040" width="52.453125" style="31" customWidth="1"/>
    <col min="1041" max="1284" width="8.7265625" style="31"/>
    <col min="1285" max="1285" width="35" style="31" customWidth="1"/>
    <col min="1286" max="1289" width="14.453125" style="31" customWidth="1"/>
    <col min="1290" max="1290" width="2.453125" style="31" customWidth="1"/>
    <col min="1291" max="1294" width="14.453125" style="31" customWidth="1"/>
    <col min="1295" max="1295" width="2.453125" style="31" customWidth="1"/>
    <col min="1296" max="1296" width="52.453125" style="31" customWidth="1"/>
    <col min="1297" max="1540" width="8.7265625" style="31"/>
    <col min="1541" max="1541" width="35" style="31" customWidth="1"/>
    <col min="1542" max="1545" width="14.453125" style="31" customWidth="1"/>
    <col min="1546" max="1546" width="2.453125" style="31" customWidth="1"/>
    <col min="1547" max="1550" width="14.453125" style="31" customWidth="1"/>
    <col min="1551" max="1551" width="2.453125" style="31" customWidth="1"/>
    <col min="1552" max="1552" width="52.453125" style="31" customWidth="1"/>
    <col min="1553" max="1796" width="8.7265625" style="31"/>
    <col min="1797" max="1797" width="35" style="31" customWidth="1"/>
    <col min="1798" max="1801" width="14.453125" style="31" customWidth="1"/>
    <col min="1802" max="1802" width="2.453125" style="31" customWidth="1"/>
    <col min="1803" max="1806" width="14.453125" style="31" customWidth="1"/>
    <col min="1807" max="1807" width="2.453125" style="31" customWidth="1"/>
    <col min="1808" max="1808" width="52.453125" style="31" customWidth="1"/>
    <col min="1809" max="2052" width="8.7265625" style="31"/>
    <col min="2053" max="2053" width="35" style="31" customWidth="1"/>
    <col min="2054" max="2057" width="14.453125" style="31" customWidth="1"/>
    <col min="2058" max="2058" width="2.453125" style="31" customWidth="1"/>
    <col min="2059" max="2062" width="14.453125" style="31" customWidth="1"/>
    <col min="2063" max="2063" width="2.453125" style="31" customWidth="1"/>
    <col min="2064" max="2064" width="52.453125" style="31" customWidth="1"/>
    <col min="2065" max="2308" width="8.7265625" style="31"/>
    <col min="2309" max="2309" width="35" style="31" customWidth="1"/>
    <col min="2310" max="2313" width="14.453125" style="31" customWidth="1"/>
    <col min="2314" max="2314" width="2.453125" style="31" customWidth="1"/>
    <col min="2315" max="2318" width="14.453125" style="31" customWidth="1"/>
    <col min="2319" max="2319" width="2.453125" style="31" customWidth="1"/>
    <col min="2320" max="2320" width="52.453125" style="31" customWidth="1"/>
    <col min="2321" max="2564" width="8.7265625" style="31"/>
    <col min="2565" max="2565" width="35" style="31" customWidth="1"/>
    <col min="2566" max="2569" width="14.453125" style="31" customWidth="1"/>
    <col min="2570" max="2570" width="2.453125" style="31" customWidth="1"/>
    <col min="2571" max="2574" width="14.453125" style="31" customWidth="1"/>
    <col min="2575" max="2575" width="2.453125" style="31" customWidth="1"/>
    <col min="2576" max="2576" width="52.453125" style="31" customWidth="1"/>
    <col min="2577" max="2820" width="8.7265625" style="31"/>
    <col min="2821" max="2821" width="35" style="31" customWidth="1"/>
    <col min="2822" max="2825" width="14.453125" style="31" customWidth="1"/>
    <col min="2826" max="2826" width="2.453125" style="31" customWidth="1"/>
    <col min="2827" max="2830" width="14.453125" style="31" customWidth="1"/>
    <col min="2831" max="2831" width="2.453125" style="31" customWidth="1"/>
    <col min="2832" max="2832" width="52.453125" style="31" customWidth="1"/>
    <col min="2833" max="3076" width="8.7265625" style="31"/>
    <col min="3077" max="3077" width="35" style="31" customWidth="1"/>
    <col min="3078" max="3081" width="14.453125" style="31" customWidth="1"/>
    <col min="3082" max="3082" width="2.453125" style="31" customWidth="1"/>
    <col min="3083" max="3086" width="14.453125" style="31" customWidth="1"/>
    <col min="3087" max="3087" width="2.453125" style="31" customWidth="1"/>
    <col min="3088" max="3088" width="52.453125" style="31" customWidth="1"/>
    <col min="3089" max="3332" width="8.7265625" style="31"/>
    <col min="3333" max="3333" width="35" style="31" customWidth="1"/>
    <col min="3334" max="3337" width="14.453125" style="31" customWidth="1"/>
    <col min="3338" max="3338" width="2.453125" style="31" customWidth="1"/>
    <col min="3339" max="3342" width="14.453125" style="31" customWidth="1"/>
    <col min="3343" max="3343" width="2.453125" style="31" customWidth="1"/>
    <col min="3344" max="3344" width="52.453125" style="31" customWidth="1"/>
    <col min="3345" max="3588" width="8.7265625" style="31"/>
    <col min="3589" max="3589" width="35" style="31" customWidth="1"/>
    <col min="3590" max="3593" width="14.453125" style="31" customWidth="1"/>
    <col min="3594" max="3594" width="2.453125" style="31" customWidth="1"/>
    <col min="3595" max="3598" width="14.453125" style="31" customWidth="1"/>
    <col min="3599" max="3599" width="2.453125" style="31" customWidth="1"/>
    <col min="3600" max="3600" width="52.453125" style="31" customWidth="1"/>
    <col min="3601" max="3844" width="8.7265625" style="31"/>
    <col min="3845" max="3845" width="35" style="31" customWidth="1"/>
    <col min="3846" max="3849" width="14.453125" style="31" customWidth="1"/>
    <col min="3850" max="3850" width="2.453125" style="31" customWidth="1"/>
    <col min="3851" max="3854" width="14.453125" style="31" customWidth="1"/>
    <col min="3855" max="3855" width="2.453125" style="31" customWidth="1"/>
    <col min="3856" max="3856" width="52.453125" style="31" customWidth="1"/>
    <col min="3857" max="4100" width="8.7265625" style="31"/>
    <col min="4101" max="4101" width="35" style="31" customWidth="1"/>
    <col min="4102" max="4105" width="14.453125" style="31" customWidth="1"/>
    <col min="4106" max="4106" width="2.453125" style="31" customWidth="1"/>
    <col min="4107" max="4110" width="14.453125" style="31" customWidth="1"/>
    <col min="4111" max="4111" width="2.453125" style="31" customWidth="1"/>
    <col min="4112" max="4112" width="52.453125" style="31" customWidth="1"/>
    <col min="4113" max="4356" width="8.7265625" style="31"/>
    <col min="4357" max="4357" width="35" style="31" customWidth="1"/>
    <col min="4358" max="4361" width="14.453125" style="31" customWidth="1"/>
    <col min="4362" max="4362" width="2.453125" style="31" customWidth="1"/>
    <col min="4363" max="4366" width="14.453125" style="31" customWidth="1"/>
    <col min="4367" max="4367" width="2.453125" style="31" customWidth="1"/>
    <col min="4368" max="4368" width="52.453125" style="31" customWidth="1"/>
    <col min="4369" max="4612" width="8.7265625" style="31"/>
    <col min="4613" max="4613" width="35" style="31" customWidth="1"/>
    <col min="4614" max="4617" width="14.453125" style="31" customWidth="1"/>
    <col min="4618" max="4618" width="2.453125" style="31" customWidth="1"/>
    <col min="4619" max="4622" width="14.453125" style="31" customWidth="1"/>
    <col min="4623" max="4623" width="2.453125" style="31" customWidth="1"/>
    <col min="4624" max="4624" width="52.453125" style="31" customWidth="1"/>
    <col min="4625" max="4868" width="8.7265625" style="31"/>
    <col min="4869" max="4869" width="35" style="31" customWidth="1"/>
    <col min="4870" max="4873" width="14.453125" style="31" customWidth="1"/>
    <col min="4874" max="4874" width="2.453125" style="31" customWidth="1"/>
    <col min="4875" max="4878" width="14.453125" style="31" customWidth="1"/>
    <col min="4879" max="4879" width="2.453125" style="31" customWidth="1"/>
    <col min="4880" max="4880" width="52.453125" style="31" customWidth="1"/>
    <col min="4881" max="5124" width="8.7265625" style="31"/>
    <col min="5125" max="5125" width="35" style="31" customWidth="1"/>
    <col min="5126" max="5129" width="14.453125" style="31" customWidth="1"/>
    <col min="5130" max="5130" width="2.453125" style="31" customWidth="1"/>
    <col min="5131" max="5134" width="14.453125" style="31" customWidth="1"/>
    <col min="5135" max="5135" width="2.453125" style="31" customWidth="1"/>
    <col min="5136" max="5136" width="52.453125" style="31" customWidth="1"/>
    <col min="5137" max="5380" width="8.7265625" style="31"/>
    <col min="5381" max="5381" width="35" style="31" customWidth="1"/>
    <col min="5382" max="5385" width="14.453125" style="31" customWidth="1"/>
    <col min="5386" max="5386" width="2.453125" style="31" customWidth="1"/>
    <col min="5387" max="5390" width="14.453125" style="31" customWidth="1"/>
    <col min="5391" max="5391" width="2.453125" style="31" customWidth="1"/>
    <col min="5392" max="5392" width="52.453125" style="31" customWidth="1"/>
    <col min="5393" max="5636" width="8.7265625" style="31"/>
    <col min="5637" max="5637" width="35" style="31" customWidth="1"/>
    <col min="5638" max="5641" width="14.453125" style="31" customWidth="1"/>
    <col min="5642" max="5642" width="2.453125" style="31" customWidth="1"/>
    <col min="5643" max="5646" width="14.453125" style="31" customWidth="1"/>
    <col min="5647" max="5647" width="2.453125" style="31" customWidth="1"/>
    <col min="5648" max="5648" width="52.453125" style="31" customWidth="1"/>
    <col min="5649" max="5892" width="8.7265625" style="31"/>
    <col min="5893" max="5893" width="35" style="31" customWidth="1"/>
    <col min="5894" max="5897" width="14.453125" style="31" customWidth="1"/>
    <col min="5898" max="5898" width="2.453125" style="31" customWidth="1"/>
    <col min="5899" max="5902" width="14.453125" style="31" customWidth="1"/>
    <col min="5903" max="5903" width="2.453125" style="31" customWidth="1"/>
    <col min="5904" max="5904" width="52.453125" style="31" customWidth="1"/>
    <col min="5905" max="6148" width="8.7265625" style="31"/>
    <col min="6149" max="6149" width="35" style="31" customWidth="1"/>
    <col min="6150" max="6153" width="14.453125" style="31" customWidth="1"/>
    <col min="6154" max="6154" width="2.453125" style="31" customWidth="1"/>
    <col min="6155" max="6158" width="14.453125" style="31" customWidth="1"/>
    <col min="6159" max="6159" width="2.453125" style="31" customWidth="1"/>
    <col min="6160" max="6160" width="52.453125" style="31" customWidth="1"/>
    <col min="6161" max="6404" width="8.7265625" style="31"/>
    <col min="6405" max="6405" width="35" style="31" customWidth="1"/>
    <col min="6406" max="6409" width="14.453125" style="31" customWidth="1"/>
    <col min="6410" max="6410" width="2.453125" style="31" customWidth="1"/>
    <col min="6411" max="6414" width="14.453125" style="31" customWidth="1"/>
    <col min="6415" max="6415" width="2.453125" style="31" customWidth="1"/>
    <col min="6416" max="6416" width="52.453125" style="31" customWidth="1"/>
    <col min="6417" max="6660" width="8.7265625" style="31"/>
    <col min="6661" max="6661" width="35" style="31" customWidth="1"/>
    <col min="6662" max="6665" width="14.453125" style="31" customWidth="1"/>
    <col min="6666" max="6666" width="2.453125" style="31" customWidth="1"/>
    <col min="6667" max="6670" width="14.453125" style="31" customWidth="1"/>
    <col min="6671" max="6671" width="2.453125" style="31" customWidth="1"/>
    <col min="6672" max="6672" width="52.453125" style="31" customWidth="1"/>
    <col min="6673" max="6916" width="8.7265625" style="31"/>
    <col min="6917" max="6917" width="35" style="31" customWidth="1"/>
    <col min="6918" max="6921" width="14.453125" style="31" customWidth="1"/>
    <col min="6922" max="6922" width="2.453125" style="31" customWidth="1"/>
    <col min="6923" max="6926" width="14.453125" style="31" customWidth="1"/>
    <col min="6927" max="6927" width="2.453125" style="31" customWidth="1"/>
    <col min="6928" max="6928" width="52.453125" style="31" customWidth="1"/>
    <col min="6929" max="7172" width="8.7265625" style="31"/>
    <col min="7173" max="7173" width="35" style="31" customWidth="1"/>
    <col min="7174" max="7177" width="14.453125" style="31" customWidth="1"/>
    <col min="7178" max="7178" width="2.453125" style="31" customWidth="1"/>
    <col min="7179" max="7182" width="14.453125" style="31" customWidth="1"/>
    <col min="7183" max="7183" width="2.453125" style="31" customWidth="1"/>
    <col min="7184" max="7184" width="52.453125" style="31" customWidth="1"/>
    <col min="7185" max="7428" width="8.7265625" style="31"/>
    <col min="7429" max="7429" width="35" style="31" customWidth="1"/>
    <col min="7430" max="7433" width="14.453125" style="31" customWidth="1"/>
    <col min="7434" max="7434" width="2.453125" style="31" customWidth="1"/>
    <col min="7435" max="7438" width="14.453125" style="31" customWidth="1"/>
    <col min="7439" max="7439" width="2.453125" style="31" customWidth="1"/>
    <col min="7440" max="7440" width="52.453125" style="31" customWidth="1"/>
    <col min="7441" max="7684" width="8.7265625" style="31"/>
    <col min="7685" max="7685" width="35" style="31" customWidth="1"/>
    <col min="7686" max="7689" width="14.453125" style="31" customWidth="1"/>
    <col min="7690" max="7690" width="2.453125" style="31" customWidth="1"/>
    <col min="7691" max="7694" width="14.453125" style="31" customWidth="1"/>
    <col min="7695" max="7695" width="2.453125" style="31" customWidth="1"/>
    <col min="7696" max="7696" width="52.453125" style="31" customWidth="1"/>
    <col min="7697" max="7940" width="8.7265625" style="31"/>
    <col min="7941" max="7941" width="35" style="31" customWidth="1"/>
    <col min="7942" max="7945" width="14.453125" style="31" customWidth="1"/>
    <col min="7946" max="7946" width="2.453125" style="31" customWidth="1"/>
    <col min="7947" max="7950" width="14.453125" style="31" customWidth="1"/>
    <col min="7951" max="7951" width="2.453125" style="31" customWidth="1"/>
    <col min="7952" max="7952" width="52.453125" style="31" customWidth="1"/>
    <col min="7953" max="8196" width="8.7265625" style="31"/>
    <col min="8197" max="8197" width="35" style="31" customWidth="1"/>
    <col min="8198" max="8201" width="14.453125" style="31" customWidth="1"/>
    <col min="8202" max="8202" width="2.453125" style="31" customWidth="1"/>
    <col min="8203" max="8206" width="14.453125" style="31" customWidth="1"/>
    <col min="8207" max="8207" width="2.453125" style="31" customWidth="1"/>
    <col min="8208" max="8208" width="52.453125" style="31" customWidth="1"/>
    <col min="8209" max="8452" width="8.7265625" style="31"/>
    <col min="8453" max="8453" width="35" style="31" customWidth="1"/>
    <col min="8454" max="8457" width="14.453125" style="31" customWidth="1"/>
    <col min="8458" max="8458" width="2.453125" style="31" customWidth="1"/>
    <col min="8459" max="8462" width="14.453125" style="31" customWidth="1"/>
    <col min="8463" max="8463" width="2.453125" style="31" customWidth="1"/>
    <col min="8464" max="8464" width="52.453125" style="31" customWidth="1"/>
    <col min="8465" max="8708" width="8.7265625" style="31"/>
    <col min="8709" max="8709" width="35" style="31" customWidth="1"/>
    <col min="8710" max="8713" width="14.453125" style="31" customWidth="1"/>
    <col min="8714" max="8714" width="2.453125" style="31" customWidth="1"/>
    <col min="8715" max="8718" width="14.453125" style="31" customWidth="1"/>
    <col min="8719" max="8719" width="2.453125" style="31" customWidth="1"/>
    <col min="8720" max="8720" width="52.453125" style="31" customWidth="1"/>
    <col min="8721" max="8964" width="8.7265625" style="31"/>
    <col min="8965" max="8965" width="35" style="31" customWidth="1"/>
    <col min="8966" max="8969" width="14.453125" style="31" customWidth="1"/>
    <col min="8970" max="8970" width="2.453125" style="31" customWidth="1"/>
    <col min="8971" max="8974" width="14.453125" style="31" customWidth="1"/>
    <col min="8975" max="8975" width="2.453125" style="31" customWidth="1"/>
    <col min="8976" max="8976" width="52.453125" style="31" customWidth="1"/>
    <col min="8977" max="9220" width="8.7265625" style="31"/>
    <col min="9221" max="9221" width="35" style="31" customWidth="1"/>
    <col min="9222" max="9225" width="14.453125" style="31" customWidth="1"/>
    <col min="9226" max="9226" width="2.453125" style="31" customWidth="1"/>
    <col min="9227" max="9230" width="14.453125" style="31" customWidth="1"/>
    <col min="9231" max="9231" width="2.453125" style="31" customWidth="1"/>
    <col min="9232" max="9232" width="52.453125" style="31" customWidth="1"/>
    <col min="9233" max="9476" width="8.7265625" style="31"/>
    <col min="9477" max="9477" width="35" style="31" customWidth="1"/>
    <col min="9478" max="9481" width="14.453125" style="31" customWidth="1"/>
    <col min="9482" max="9482" width="2.453125" style="31" customWidth="1"/>
    <col min="9483" max="9486" width="14.453125" style="31" customWidth="1"/>
    <col min="9487" max="9487" width="2.453125" style="31" customWidth="1"/>
    <col min="9488" max="9488" width="52.453125" style="31" customWidth="1"/>
    <col min="9489" max="9732" width="8.7265625" style="31"/>
    <col min="9733" max="9733" width="35" style="31" customWidth="1"/>
    <col min="9734" max="9737" width="14.453125" style="31" customWidth="1"/>
    <col min="9738" max="9738" width="2.453125" style="31" customWidth="1"/>
    <col min="9739" max="9742" width="14.453125" style="31" customWidth="1"/>
    <col min="9743" max="9743" width="2.453125" style="31" customWidth="1"/>
    <col min="9744" max="9744" width="52.453125" style="31" customWidth="1"/>
    <col min="9745" max="9988" width="8.7265625" style="31"/>
    <col min="9989" max="9989" width="35" style="31" customWidth="1"/>
    <col min="9990" max="9993" width="14.453125" style="31" customWidth="1"/>
    <col min="9994" max="9994" width="2.453125" style="31" customWidth="1"/>
    <col min="9995" max="9998" width="14.453125" style="31" customWidth="1"/>
    <col min="9999" max="9999" width="2.453125" style="31" customWidth="1"/>
    <col min="10000" max="10000" width="52.453125" style="31" customWidth="1"/>
    <col min="10001" max="10244" width="8.7265625" style="31"/>
    <col min="10245" max="10245" width="35" style="31" customWidth="1"/>
    <col min="10246" max="10249" width="14.453125" style="31" customWidth="1"/>
    <col min="10250" max="10250" width="2.453125" style="31" customWidth="1"/>
    <col min="10251" max="10254" width="14.453125" style="31" customWidth="1"/>
    <col min="10255" max="10255" width="2.453125" style="31" customWidth="1"/>
    <col min="10256" max="10256" width="52.453125" style="31" customWidth="1"/>
    <col min="10257" max="10500" width="8.7265625" style="31"/>
    <col min="10501" max="10501" width="35" style="31" customWidth="1"/>
    <col min="10502" max="10505" width="14.453125" style="31" customWidth="1"/>
    <col min="10506" max="10506" width="2.453125" style="31" customWidth="1"/>
    <col min="10507" max="10510" width="14.453125" style="31" customWidth="1"/>
    <col min="10511" max="10511" width="2.453125" style="31" customWidth="1"/>
    <col min="10512" max="10512" width="52.453125" style="31" customWidth="1"/>
    <col min="10513" max="10756" width="8.7265625" style="31"/>
    <col min="10757" max="10757" width="35" style="31" customWidth="1"/>
    <col min="10758" max="10761" width="14.453125" style="31" customWidth="1"/>
    <col min="10762" max="10762" width="2.453125" style="31" customWidth="1"/>
    <col min="10763" max="10766" width="14.453125" style="31" customWidth="1"/>
    <col min="10767" max="10767" width="2.453125" style="31" customWidth="1"/>
    <col min="10768" max="10768" width="52.453125" style="31" customWidth="1"/>
    <col min="10769" max="11012" width="8.7265625" style="31"/>
    <col min="11013" max="11013" width="35" style="31" customWidth="1"/>
    <col min="11014" max="11017" width="14.453125" style="31" customWidth="1"/>
    <col min="11018" max="11018" width="2.453125" style="31" customWidth="1"/>
    <col min="11019" max="11022" width="14.453125" style="31" customWidth="1"/>
    <col min="11023" max="11023" width="2.453125" style="31" customWidth="1"/>
    <col min="11024" max="11024" width="52.453125" style="31" customWidth="1"/>
    <col min="11025" max="11268" width="8.7265625" style="31"/>
    <col min="11269" max="11269" width="35" style="31" customWidth="1"/>
    <col min="11270" max="11273" width="14.453125" style="31" customWidth="1"/>
    <col min="11274" max="11274" width="2.453125" style="31" customWidth="1"/>
    <col min="11275" max="11278" width="14.453125" style="31" customWidth="1"/>
    <col min="11279" max="11279" width="2.453125" style="31" customWidth="1"/>
    <col min="11280" max="11280" width="52.453125" style="31" customWidth="1"/>
    <col min="11281" max="11524" width="8.7265625" style="31"/>
    <col min="11525" max="11525" width="35" style="31" customWidth="1"/>
    <col min="11526" max="11529" width="14.453125" style="31" customWidth="1"/>
    <col min="11530" max="11530" width="2.453125" style="31" customWidth="1"/>
    <col min="11531" max="11534" width="14.453125" style="31" customWidth="1"/>
    <col min="11535" max="11535" width="2.453125" style="31" customWidth="1"/>
    <col min="11536" max="11536" width="52.453125" style="31" customWidth="1"/>
    <col min="11537" max="11780" width="8.7265625" style="31"/>
    <col min="11781" max="11781" width="35" style="31" customWidth="1"/>
    <col min="11782" max="11785" width="14.453125" style="31" customWidth="1"/>
    <col min="11786" max="11786" width="2.453125" style="31" customWidth="1"/>
    <col min="11787" max="11790" width="14.453125" style="31" customWidth="1"/>
    <col min="11791" max="11791" width="2.453125" style="31" customWidth="1"/>
    <col min="11792" max="11792" width="52.453125" style="31" customWidth="1"/>
    <col min="11793" max="12036" width="8.7265625" style="31"/>
    <col min="12037" max="12037" width="35" style="31" customWidth="1"/>
    <col min="12038" max="12041" width="14.453125" style="31" customWidth="1"/>
    <col min="12042" max="12042" width="2.453125" style="31" customWidth="1"/>
    <col min="12043" max="12046" width="14.453125" style="31" customWidth="1"/>
    <col min="12047" max="12047" width="2.453125" style="31" customWidth="1"/>
    <col min="12048" max="12048" width="52.453125" style="31" customWidth="1"/>
    <col min="12049" max="12292" width="8.7265625" style="31"/>
    <col min="12293" max="12293" width="35" style="31" customWidth="1"/>
    <col min="12294" max="12297" width="14.453125" style="31" customWidth="1"/>
    <col min="12298" max="12298" width="2.453125" style="31" customWidth="1"/>
    <col min="12299" max="12302" width="14.453125" style="31" customWidth="1"/>
    <col min="12303" max="12303" width="2.453125" style="31" customWidth="1"/>
    <col min="12304" max="12304" width="52.453125" style="31" customWidth="1"/>
    <col min="12305" max="12548" width="8.7265625" style="31"/>
    <col min="12549" max="12549" width="35" style="31" customWidth="1"/>
    <col min="12550" max="12553" width="14.453125" style="31" customWidth="1"/>
    <col min="12554" max="12554" width="2.453125" style="31" customWidth="1"/>
    <col min="12555" max="12558" width="14.453125" style="31" customWidth="1"/>
    <col min="12559" max="12559" width="2.453125" style="31" customWidth="1"/>
    <col min="12560" max="12560" width="52.453125" style="31" customWidth="1"/>
    <col min="12561" max="12804" width="8.7265625" style="31"/>
    <col min="12805" max="12805" width="35" style="31" customWidth="1"/>
    <col min="12806" max="12809" width="14.453125" style="31" customWidth="1"/>
    <col min="12810" max="12810" width="2.453125" style="31" customWidth="1"/>
    <col min="12811" max="12814" width="14.453125" style="31" customWidth="1"/>
    <col min="12815" max="12815" width="2.453125" style="31" customWidth="1"/>
    <col min="12816" max="12816" width="52.453125" style="31" customWidth="1"/>
    <col min="12817" max="13060" width="8.7265625" style="31"/>
    <col min="13061" max="13061" width="35" style="31" customWidth="1"/>
    <col min="13062" max="13065" width="14.453125" style="31" customWidth="1"/>
    <col min="13066" max="13066" width="2.453125" style="31" customWidth="1"/>
    <col min="13067" max="13070" width="14.453125" style="31" customWidth="1"/>
    <col min="13071" max="13071" width="2.453125" style="31" customWidth="1"/>
    <col min="13072" max="13072" width="52.453125" style="31" customWidth="1"/>
    <col min="13073" max="13316" width="8.7265625" style="31"/>
    <col min="13317" max="13317" width="35" style="31" customWidth="1"/>
    <col min="13318" max="13321" width="14.453125" style="31" customWidth="1"/>
    <col min="13322" max="13322" width="2.453125" style="31" customWidth="1"/>
    <col min="13323" max="13326" width="14.453125" style="31" customWidth="1"/>
    <col min="13327" max="13327" width="2.453125" style="31" customWidth="1"/>
    <col min="13328" max="13328" width="52.453125" style="31" customWidth="1"/>
    <col min="13329" max="13572" width="8.7265625" style="31"/>
    <col min="13573" max="13573" width="35" style="31" customWidth="1"/>
    <col min="13574" max="13577" width="14.453125" style="31" customWidth="1"/>
    <col min="13578" max="13578" width="2.453125" style="31" customWidth="1"/>
    <col min="13579" max="13582" width="14.453125" style="31" customWidth="1"/>
    <col min="13583" max="13583" width="2.453125" style="31" customWidth="1"/>
    <col min="13584" max="13584" width="52.453125" style="31" customWidth="1"/>
    <col min="13585" max="13828" width="8.7265625" style="31"/>
    <col min="13829" max="13829" width="35" style="31" customWidth="1"/>
    <col min="13830" max="13833" width="14.453125" style="31" customWidth="1"/>
    <col min="13834" max="13834" width="2.453125" style="31" customWidth="1"/>
    <col min="13835" max="13838" width="14.453125" style="31" customWidth="1"/>
    <col min="13839" max="13839" width="2.453125" style="31" customWidth="1"/>
    <col min="13840" max="13840" width="52.453125" style="31" customWidth="1"/>
    <col min="13841" max="14084" width="8.7265625" style="31"/>
    <col min="14085" max="14085" width="35" style="31" customWidth="1"/>
    <col min="14086" max="14089" width="14.453125" style="31" customWidth="1"/>
    <col min="14090" max="14090" width="2.453125" style="31" customWidth="1"/>
    <col min="14091" max="14094" width="14.453125" style="31" customWidth="1"/>
    <col min="14095" max="14095" width="2.453125" style="31" customWidth="1"/>
    <col min="14096" max="14096" width="52.453125" style="31" customWidth="1"/>
    <col min="14097" max="14340" width="8.7265625" style="31"/>
    <col min="14341" max="14341" width="35" style="31" customWidth="1"/>
    <col min="14342" max="14345" width="14.453125" style="31" customWidth="1"/>
    <col min="14346" max="14346" width="2.453125" style="31" customWidth="1"/>
    <col min="14347" max="14350" width="14.453125" style="31" customWidth="1"/>
    <col min="14351" max="14351" width="2.453125" style="31" customWidth="1"/>
    <col min="14352" max="14352" width="52.453125" style="31" customWidth="1"/>
    <col min="14353" max="14596" width="8.7265625" style="31"/>
    <col min="14597" max="14597" width="35" style="31" customWidth="1"/>
    <col min="14598" max="14601" width="14.453125" style="31" customWidth="1"/>
    <col min="14602" max="14602" width="2.453125" style="31" customWidth="1"/>
    <col min="14603" max="14606" width="14.453125" style="31" customWidth="1"/>
    <col min="14607" max="14607" width="2.453125" style="31" customWidth="1"/>
    <col min="14608" max="14608" width="52.453125" style="31" customWidth="1"/>
    <col min="14609" max="14852" width="8.7265625" style="31"/>
    <col min="14853" max="14853" width="35" style="31" customWidth="1"/>
    <col min="14854" max="14857" width="14.453125" style="31" customWidth="1"/>
    <col min="14858" max="14858" width="2.453125" style="31" customWidth="1"/>
    <col min="14859" max="14862" width="14.453125" style="31" customWidth="1"/>
    <col min="14863" max="14863" width="2.453125" style="31" customWidth="1"/>
    <col min="14864" max="14864" width="52.453125" style="31" customWidth="1"/>
    <col min="14865" max="15108" width="8.7265625" style="31"/>
    <col min="15109" max="15109" width="35" style="31" customWidth="1"/>
    <col min="15110" max="15113" width="14.453125" style="31" customWidth="1"/>
    <col min="15114" max="15114" width="2.453125" style="31" customWidth="1"/>
    <col min="15115" max="15118" width="14.453125" style="31" customWidth="1"/>
    <col min="15119" max="15119" width="2.453125" style="31" customWidth="1"/>
    <col min="15120" max="15120" width="52.453125" style="31" customWidth="1"/>
    <col min="15121" max="15364" width="8.7265625" style="31"/>
    <col min="15365" max="15365" width="35" style="31" customWidth="1"/>
    <col min="15366" max="15369" width="14.453125" style="31" customWidth="1"/>
    <col min="15370" max="15370" width="2.453125" style="31" customWidth="1"/>
    <col min="15371" max="15374" width="14.453125" style="31" customWidth="1"/>
    <col min="15375" max="15375" width="2.453125" style="31" customWidth="1"/>
    <col min="15376" max="15376" width="52.453125" style="31" customWidth="1"/>
    <col min="15377" max="15620" width="8.7265625" style="31"/>
    <col min="15621" max="15621" width="35" style="31" customWidth="1"/>
    <col min="15622" max="15625" width="14.453125" style="31" customWidth="1"/>
    <col min="15626" max="15626" width="2.453125" style="31" customWidth="1"/>
    <col min="15627" max="15630" width="14.453125" style="31" customWidth="1"/>
    <col min="15631" max="15631" width="2.453125" style="31" customWidth="1"/>
    <col min="15632" max="15632" width="52.453125" style="31" customWidth="1"/>
    <col min="15633" max="15876" width="8.7265625" style="31"/>
    <col min="15877" max="15877" width="35" style="31" customWidth="1"/>
    <col min="15878" max="15881" width="14.453125" style="31" customWidth="1"/>
    <col min="15882" max="15882" width="2.453125" style="31" customWidth="1"/>
    <col min="15883" max="15886" width="14.453125" style="31" customWidth="1"/>
    <col min="15887" max="15887" width="2.453125" style="31" customWidth="1"/>
    <col min="15888" max="15888" width="52.453125" style="31" customWidth="1"/>
    <col min="15889" max="16132" width="8.7265625" style="31"/>
    <col min="16133" max="16133" width="35" style="31" customWidth="1"/>
    <col min="16134" max="16137" width="14.453125" style="31" customWidth="1"/>
    <col min="16138" max="16138" width="2.453125" style="31" customWidth="1"/>
    <col min="16139" max="16142" width="14.453125" style="31" customWidth="1"/>
    <col min="16143" max="16143" width="2.453125" style="31" customWidth="1"/>
    <col min="16144" max="16144" width="52.453125" style="31" customWidth="1"/>
    <col min="16145" max="16375" width="8.7265625" style="31"/>
    <col min="16376" max="16384" width="8.7265625" style="31" customWidth="1"/>
  </cols>
  <sheetData>
    <row r="1" spans="1:98" ht="15" customHeight="1" x14ac:dyDescent="0.35">
      <c r="A1" s="1324" t="s">
        <v>275</v>
      </c>
      <c r="B1" s="993"/>
      <c r="D1" s="37"/>
      <c r="E1" s="37"/>
      <c r="J1" s="1500"/>
      <c r="K1" s="1500"/>
      <c r="L1" s="1500"/>
      <c r="M1" s="1500"/>
      <c r="N1" s="1500"/>
      <c r="O1" s="1500"/>
      <c r="P1" s="1500"/>
      <c r="W1" s="1554"/>
    </row>
    <row r="2" spans="1:98" ht="15" customHeight="1" x14ac:dyDescent="0.35">
      <c r="H2" s="2060"/>
      <c r="J2" s="1500"/>
      <c r="K2" s="1500"/>
      <c r="L2" s="1500"/>
      <c r="M2" s="1500"/>
      <c r="N2" s="1500"/>
      <c r="O2" s="1500"/>
      <c r="P2" s="1500"/>
      <c r="W2" s="1554"/>
    </row>
    <row r="3" spans="1:98" ht="15" customHeight="1" x14ac:dyDescent="0.35">
      <c r="D3" s="1559" t="str">
        <f>LEFT(D4,FIND(":",D4)-1)</f>
        <v>Table T11</v>
      </c>
      <c r="E3" s="1559"/>
      <c r="F3" s="95"/>
      <c r="G3" s="95"/>
      <c r="H3" s="2062"/>
      <c r="I3" s="95"/>
      <c r="J3" s="95"/>
      <c r="K3" s="95"/>
      <c r="L3" s="95"/>
      <c r="M3" s="95"/>
      <c r="N3" s="95"/>
      <c r="O3" s="95"/>
      <c r="P3" s="95"/>
      <c r="W3" s="1554"/>
    </row>
    <row r="4" spans="1:98" ht="15" customHeight="1" x14ac:dyDescent="0.45">
      <c r="D4" s="1656" t="str">
        <f>ToC!$J$18</f>
        <v>Table T11: Operations &amp; Maintenance Costs for BESS Resource (Nominal$)</v>
      </c>
      <c r="E4" s="1503"/>
      <c r="F4" s="1503"/>
      <c r="G4" s="1503"/>
      <c r="H4" s="1503"/>
      <c r="I4" s="1503"/>
      <c r="J4" s="1503"/>
      <c r="K4" s="1503"/>
      <c r="L4" s="1503"/>
      <c r="M4" s="1503"/>
      <c r="N4" s="1503"/>
      <c r="O4" s="1503"/>
      <c r="P4" s="1503"/>
      <c r="S4" s="1556"/>
      <c r="W4" s="1554"/>
    </row>
    <row r="5" spans="1:98" ht="6" customHeight="1" thickBot="1" x14ac:dyDescent="0.4">
      <c r="D5" s="686"/>
      <c r="E5" s="686"/>
      <c r="F5" s="686"/>
      <c r="G5" s="686"/>
      <c r="H5" s="686"/>
      <c r="I5" s="686"/>
      <c r="J5" s="1504"/>
      <c r="K5" s="1504"/>
      <c r="L5" s="1504"/>
      <c r="M5" s="1504"/>
      <c r="N5" s="1504"/>
      <c r="O5" s="1504"/>
      <c r="P5" s="1504"/>
    </row>
    <row r="6" spans="1:98" ht="6" customHeight="1" thickTop="1" x14ac:dyDescent="0.35">
      <c r="J6" s="1506"/>
      <c r="K6" s="753"/>
      <c r="L6" s="753"/>
      <c r="M6" s="753"/>
      <c r="N6" s="753"/>
      <c r="O6" s="753"/>
      <c r="P6" s="753"/>
    </row>
    <row r="7" spans="1:98" ht="14.5" x14ac:dyDescent="0.35">
      <c r="D7" s="1560" t="s">
        <v>76</v>
      </c>
      <c r="E7" s="1426"/>
      <c r="F7" s="2192" t="str">
        <f>"Current O&amp;M Costs: "&amp;TEXT(Control!$H$18,"mm/yyyy")</f>
        <v>Current O&amp;M Costs: 01/2025</v>
      </c>
      <c r="G7" s="2192"/>
      <c r="H7" s="2192"/>
      <c r="I7" s="2192"/>
      <c r="J7" s="2192"/>
      <c r="K7" s="1490"/>
      <c r="L7" s="2191" t="str">
        <f>"Escalated O&amp;M Costs: "&amp;TEXT(Control!$H$19,"mm/yyyy")</f>
        <v>Escalated O&amp;M Costs: 06/2028</v>
      </c>
      <c r="M7" s="2191"/>
      <c r="N7" s="2191"/>
      <c r="O7" s="2191"/>
      <c r="P7" s="2191"/>
    </row>
    <row r="8" spans="1:98" ht="6" customHeight="1" x14ac:dyDescent="0.35">
      <c r="D8" s="1508"/>
      <c r="E8" s="1428"/>
      <c r="J8" s="753"/>
      <c r="K8" s="753"/>
      <c r="L8" s="753"/>
      <c r="M8" s="753"/>
      <c r="N8" s="753"/>
      <c r="O8" s="753"/>
      <c r="P8" s="753"/>
    </row>
    <row r="9" spans="1:98" s="83" customFormat="1" ht="15" customHeight="1" x14ac:dyDescent="0.35">
      <c r="A9" s="1421"/>
      <c r="B9" s="1421"/>
      <c r="C9" s="1421"/>
      <c r="D9" s="1508" t="s">
        <v>24</v>
      </c>
      <c r="E9" s="1428"/>
      <c r="F9" s="1428" t="s">
        <v>259</v>
      </c>
      <c r="G9" s="1428" t="s">
        <v>259</v>
      </c>
      <c r="H9" s="1428" t="s">
        <v>259</v>
      </c>
      <c r="I9" s="1428" t="s">
        <v>259</v>
      </c>
      <c r="J9" s="1428" t="s">
        <v>259</v>
      </c>
      <c r="K9" s="1428"/>
      <c r="L9" s="1428" t="s">
        <v>259</v>
      </c>
      <c r="M9" s="1428" t="s">
        <v>259</v>
      </c>
      <c r="N9" s="1428" t="s">
        <v>259</v>
      </c>
      <c r="O9" s="1428" t="s">
        <v>259</v>
      </c>
      <c r="P9" s="1428" t="s">
        <v>259</v>
      </c>
      <c r="Q9" s="82"/>
      <c r="R9" s="82"/>
      <c r="T9" s="195"/>
    </row>
    <row r="10" spans="1:98" ht="15" hidden="1" customHeight="1" outlineLevel="1" x14ac:dyDescent="0.35">
      <c r="D10" s="1508"/>
      <c r="E10" s="1430"/>
      <c r="F10" s="1405">
        <v>1</v>
      </c>
      <c r="G10" s="1405">
        <v>2</v>
      </c>
      <c r="H10" s="1405">
        <v>3</v>
      </c>
      <c r="I10" s="1405">
        <v>4</v>
      </c>
      <c r="J10" s="1378">
        <v>5</v>
      </c>
      <c r="K10" s="1378"/>
      <c r="L10" s="1405">
        <v>1</v>
      </c>
      <c r="M10" s="1405">
        <v>2</v>
      </c>
      <c r="N10" s="1405">
        <v>3</v>
      </c>
      <c r="O10" s="1405">
        <v>4</v>
      </c>
      <c r="P10" s="1378">
        <v>5</v>
      </c>
      <c r="T10" s="2194" t="s">
        <v>269</v>
      </c>
    </row>
    <row r="11" spans="1:98" ht="15" customHeight="1" collapsed="1" x14ac:dyDescent="0.35">
      <c r="D11" s="1508" t="s">
        <v>287</v>
      </c>
      <c r="E11" s="1431"/>
      <c r="F11" s="1380" t="s">
        <v>288</v>
      </c>
      <c r="G11" s="1380" t="s">
        <v>289</v>
      </c>
      <c r="H11" s="1380" t="s">
        <v>290</v>
      </c>
      <c r="I11" s="1380" t="s">
        <v>291</v>
      </c>
      <c r="J11" s="1467" t="s">
        <v>299</v>
      </c>
      <c r="K11" s="1467"/>
      <c r="L11" s="1380" t="s">
        <v>288</v>
      </c>
      <c r="M11" s="1380" t="s">
        <v>289</v>
      </c>
      <c r="N11" s="1380" t="s">
        <v>290</v>
      </c>
      <c r="O11" s="1380" t="s">
        <v>291</v>
      </c>
      <c r="P11" s="1467" t="s">
        <v>299</v>
      </c>
      <c r="S11" s="83"/>
      <c r="T11" s="2194"/>
      <c r="U11" s="1497"/>
      <c r="V11" s="1497"/>
      <c r="W11" s="1498"/>
      <c r="X11" s="1498"/>
      <c r="Y11" s="1498"/>
    </row>
    <row r="12" spans="1:98" ht="15" customHeight="1" x14ac:dyDescent="0.35">
      <c r="D12" s="1402" t="str">
        <f>Control!$D$42&amp;" (MW)"</f>
        <v>Net Summer Capacity (MW)</v>
      </c>
      <c r="E12" s="1493"/>
      <c r="F12" s="1561" t="str">
        <f>'Capital Costs - BESS'!G$12</f>
        <v>-</v>
      </c>
      <c r="G12" s="1561" t="str">
        <f>'Capital Costs - BESS'!H$12</f>
        <v>-</v>
      </c>
      <c r="H12" s="1561" t="str">
        <f>'Capital Costs - BESS'!I$12</f>
        <v>-</v>
      </c>
      <c r="I12" s="1561" t="str">
        <f>'Capital Costs - BESS'!J$12</f>
        <v>-</v>
      </c>
      <c r="J12" s="1561" t="str">
        <f>'Capital Costs - BESS'!K$12</f>
        <v>-</v>
      </c>
      <c r="K12" s="1561"/>
      <c r="L12" s="1511">
        <f>'BESS OM Costs'!R$34</f>
        <v>200</v>
      </c>
      <c r="M12" s="1511">
        <f>'BESS OM Costs'!S$34</f>
        <v>200</v>
      </c>
      <c r="N12" s="1511">
        <f>'BESS OM Costs'!T$34</f>
        <v>200</v>
      </c>
      <c r="O12" s="1511">
        <f>'BESS OM Costs'!U$34</f>
        <v>200</v>
      </c>
      <c r="P12" s="1511">
        <f>'BESS OM Costs'!V$34</f>
        <v>200</v>
      </c>
      <c r="Q12" s="1282"/>
      <c r="R12" s="1282"/>
      <c r="S12" s="83"/>
      <c r="T12" s="1309"/>
      <c r="U12" s="1555"/>
      <c r="V12" s="1555"/>
    </row>
    <row r="13" spans="1:98" ht="6" customHeight="1" x14ac:dyDescent="0.35">
      <c r="D13" s="1513"/>
      <c r="E13" s="1513"/>
      <c r="F13" s="1513"/>
      <c r="G13" s="1513"/>
      <c r="H13" s="1513"/>
      <c r="I13" s="1513"/>
      <c r="J13" s="672"/>
      <c r="K13" s="672"/>
      <c r="L13" s="672"/>
      <c r="M13" s="672"/>
      <c r="N13" s="672"/>
      <c r="O13" s="672"/>
      <c r="P13" s="672"/>
    </row>
    <row r="14" spans="1:98" ht="6" customHeight="1" x14ac:dyDescent="0.35">
      <c r="D14" s="683"/>
      <c r="E14" s="683"/>
      <c r="F14" s="683"/>
      <c r="G14" s="683"/>
      <c r="H14" s="683"/>
      <c r="I14" s="683"/>
      <c r="J14" s="1515"/>
      <c r="K14" s="1515"/>
      <c r="L14" s="1515"/>
      <c r="M14" s="1515"/>
      <c r="N14" s="1515"/>
      <c r="O14" s="1515"/>
      <c r="P14" s="1515"/>
      <c r="S14" s="683"/>
      <c r="T14" s="1299"/>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row>
    <row r="15" spans="1:98" ht="15" customHeight="1" x14ac:dyDescent="0.35">
      <c r="D15" s="1654" t="s">
        <v>545</v>
      </c>
      <c r="E15" s="68"/>
      <c r="F15" s="68"/>
      <c r="G15" s="68"/>
      <c r="H15" s="68"/>
      <c r="I15" s="68"/>
      <c r="J15" s="70"/>
      <c r="K15" s="70"/>
      <c r="L15" s="70"/>
      <c r="M15" s="70"/>
      <c r="N15" s="70"/>
      <c r="O15" s="70"/>
      <c r="P15" s="70"/>
    </row>
    <row r="16" spans="1:98" ht="15" customHeight="1" x14ac:dyDescent="0.35">
      <c r="D16" s="1303" t="str">
        <f t="shared" ref="D16:D21" si="0">$T16</f>
        <v>O&amp;M Contract Fixed Payments</v>
      </c>
      <c r="E16" s="1303"/>
      <c r="F16" s="1915" t="str">
        <f>IF(Control!$H$10=Control!$K$10,INDEX('BESS OM Costs'!$K$37:$O$51,MATCH($T16,'BESS OM Costs'!$D$37:$D$51,0),MATCH(F$11,'BESS OM Costs'!$K$29:$O$29,0))/10^6,"-")</f>
        <v>-</v>
      </c>
      <c r="G16" s="1915" t="str">
        <f>IF(Control!$H$10=Control!$K$10,INDEX('BESS OM Costs'!$K$37:$O$51,MATCH($T16,'BESS OM Costs'!$D$37:$D$51,0),MATCH(G$11,'BESS OM Costs'!$K$29:$O$29,0))/10^6,"-")</f>
        <v>-</v>
      </c>
      <c r="H16" s="1915" t="str">
        <f>IF(Control!$H$10=Control!$K$10,INDEX('BESS OM Costs'!$K$37:$O$51,MATCH($T16,'BESS OM Costs'!$D$37:$D$51,0),MATCH(H$11,'BESS OM Costs'!$K$29:$O$29,0))/10^6,"-")</f>
        <v>-</v>
      </c>
      <c r="I16" s="1915" t="str">
        <f>IF(Control!$H$10=Control!$K$10,INDEX('BESS OM Costs'!$K$37:$O$51,MATCH($T16,'BESS OM Costs'!$D$37:$D$51,0),MATCH(I$11,'BESS OM Costs'!$K$29:$O$29,0))/10^6,"-")</f>
        <v>-</v>
      </c>
      <c r="J16" s="1915" t="str">
        <f>IF(Control!$H$10=Control!$K$10,INDEX('BESS OM Costs'!$K$37:$O$51,MATCH($T16,'BESS OM Costs'!$D$37:$D$51,0),MATCH(J$11,'BESS OM Costs'!$K$29:$O$29,0))/10^6,"-")</f>
        <v>-</v>
      </c>
      <c r="K16" s="1915"/>
      <c r="L16" s="1915" t="str">
        <f>IF(Control!$H$10=Control!$K$10,INDEX('BESS OM Costs'!$R$40:$V$46,MATCH($T16,'BESS OM Costs'!$D$40:$D$46,0),MATCH(L$11,'BESS OM Costs'!$R$29:$V$29,0))/10^6,"-")</f>
        <v>-</v>
      </c>
      <c r="M16" s="1915" t="str">
        <f>IF(Control!$H$10=Control!$K$10,INDEX('BESS OM Costs'!$R$40:$V$46,MATCH($T16,'BESS OM Costs'!$D$40:$D$46,0),MATCH(M$11,'BESS OM Costs'!$R$29:$V$29,0))/10^6,"-")</f>
        <v>-</v>
      </c>
      <c r="N16" s="1915" t="str">
        <f>IF(Control!$H$10=Control!$K$10,INDEX('BESS OM Costs'!$R$40:$V$46,MATCH($T16,'BESS OM Costs'!$D$40:$D$46,0),MATCH(N$11,'BESS OM Costs'!$R$29:$V$29,0))/10^6,"-")</f>
        <v>-</v>
      </c>
      <c r="O16" s="1915" t="str">
        <f>IF(Control!$H$10=Control!$K$10,INDEX('BESS OM Costs'!$R$40:$V$46,MATCH($T16,'BESS OM Costs'!$D$40:$D$46,0),MATCH(O$11,'BESS OM Costs'!$R$29:$V$29,0))/10^6,"-")</f>
        <v>-</v>
      </c>
      <c r="P16" s="1915" t="str">
        <f>IF(Control!$H$10=Control!$K$10,INDEX('BESS OM Costs'!$R$40:$V$46,MATCH($T16,'BESS OM Costs'!$D$40:$D$46,0),MATCH(P$11,'BESS OM Costs'!$R$29:$V$29,0))/10^6,"-")</f>
        <v>-</v>
      </c>
      <c r="Q16" s="1557"/>
      <c r="T16" s="1301" t="str">
        <f>'BESS OM Costs'!$D40</f>
        <v>O&amp;M Contract Fixed Payments</v>
      </c>
      <c r="U16" s="993"/>
      <c r="W16" s="993"/>
      <c r="X16" s="993"/>
      <c r="Y16" s="993"/>
    </row>
    <row r="17" spans="4:25" ht="15" customHeight="1" x14ac:dyDescent="0.35">
      <c r="D17" s="1562" t="str">
        <f t="shared" si="0"/>
        <v>BOP and Substation O&amp;M</v>
      </c>
      <c r="E17" s="1562"/>
      <c r="F17" s="1916" t="str">
        <f>IF(Control!$H$10=Control!$K$10,INDEX('BESS OM Costs'!$K$37:$O$51,MATCH($T17,'BESS OM Costs'!$D$37:$D$51,0),MATCH(F$11,'BESS OM Costs'!$K$29:$O$29,0))/10^6,"-")</f>
        <v>-</v>
      </c>
      <c r="G17" s="1916" t="str">
        <f>IF(Control!$H$10=Control!$K$10,INDEX('BESS OM Costs'!$K$37:$O$51,MATCH($T17,'BESS OM Costs'!$D$37:$D$51,0),MATCH(G$11,'BESS OM Costs'!$K$29:$O$29,0))/10^6,"-")</f>
        <v>-</v>
      </c>
      <c r="H17" s="1916" t="str">
        <f>IF(Control!$H$10=Control!$K$10,INDEX('BESS OM Costs'!$K$37:$O$51,MATCH($T17,'BESS OM Costs'!$D$37:$D$51,0),MATCH(H$11,'BESS OM Costs'!$K$29:$O$29,0))/10^6,"-")</f>
        <v>-</v>
      </c>
      <c r="I17" s="1916" t="str">
        <f>IF(Control!$H$10=Control!$K$10,INDEX('BESS OM Costs'!$K$37:$O$51,MATCH($T17,'BESS OM Costs'!$D$37:$D$51,0),MATCH(I$11,'BESS OM Costs'!$K$29:$O$29,0))/10^6,"-")</f>
        <v>-</v>
      </c>
      <c r="J17" s="1916" t="str">
        <f>IF(Control!$H$10=Control!$K$10,INDEX('BESS OM Costs'!$K$37:$O$51,MATCH($T17,'BESS OM Costs'!$D$37:$D$51,0),MATCH(J$11,'BESS OM Costs'!$K$29:$O$29,0))/10^6,"-")</f>
        <v>-</v>
      </c>
      <c r="K17" s="1916"/>
      <c r="L17" s="1916" t="str">
        <f>IF(Control!$H$10=Control!$K$10,INDEX('BESS OM Costs'!$R$40:$V$46,MATCH($T17,'BESS OM Costs'!$D$40:$D$46,0),MATCH(L$11,'BESS OM Costs'!$R$29:$V$29,0))/10^6,"-")</f>
        <v>-</v>
      </c>
      <c r="M17" s="1916" t="str">
        <f>IF(Control!$H$10=Control!$K$10,INDEX('BESS OM Costs'!$R$40:$V$46,MATCH($T17,'BESS OM Costs'!$D$40:$D$46,0),MATCH(M$11,'BESS OM Costs'!$R$29:$V$29,0))/10^6,"-")</f>
        <v>-</v>
      </c>
      <c r="N17" s="1916" t="str">
        <f>IF(Control!$H$10=Control!$K$10,INDEX('BESS OM Costs'!$R$40:$V$46,MATCH($T17,'BESS OM Costs'!$D$40:$D$46,0),MATCH(N$11,'BESS OM Costs'!$R$29:$V$29,0))/10^6,"-")</f>
        <v>-</v>
      </c>
      <c r="O17" s="1916" t="str">
        <f>IF(Control!$H$10=Control!$K$10,INDEX('BESS OM Costs'!$R$40:$V$46,MATCH($T17,'BESS OM Costs'!$D$40:$D$46,0),MATCH(O$11,'BESS OM Costs'!$R$29:$V$29,0))/10^6,"-")</f>
        <v>-</v>
      </c>
      <c r="P17" s="1916" t="str">
        <f>IF(Control!$H$10=Control!$K$10,INDEX('BESS OM Costs'!$R$40:$V$46,MATCH($T17,'BESS OM Costs'!$D$40:$D$46,0),MATCH(P$11,'BESS OM Costs'!$R$29:$V$29,0))/10^6,"-")</f>
        <v>-</v>
      </c>
      <c r="T17" s="1300" t="str">
        <f>'BESS OM Costs'!$D41</f>
        <v>BOP and Substation O&amp;M</v>
      </c>
      <c r="U17" s="993"/>
      <c r="W17" s="993"/>
      <c r="X17" s="993"/>
      <c r="Y17" s="993"/>
    </row>
    <row r="18" spans="4:25" ht="15" customHeight="1" x14ac:dyDescent="0.35">
      <c r="D18" s="63" t="str">
        <f t="shared" si="0"/>
        <v>Station Load / Aux Load</v>
      </c>
      <c r="E18" s="63"/>
      <c r="F18" s="1915" t="str">
        <f>IF(Control!$H$10=Control!$K$10,INDEX('BESS OM Costs'!$K$37:$O$51,MATCH($T18,'BESS OM Costs'!$D$37:$D$51,0),MATCH(F$11,'BESS OM Costs'!$K$29:$O$29,0))/10^6,"-")</f>
        <v>-</v>
      </c>
      <c r="G18" s="1915" t="str">
        <f>IF(Control!$H$10=Control!$K$10,INDEX('BESS OM Costs'!$K$37:$O$51,MATCH($T18,'BESS OM Costs'!$D$37:$D$51,0),MATCH(G$11,'BESS OM Costs'!$K$29:$O$29,0))/10^6,"-")</f>
        <v>-</v>
      </c>
      <c r="H18" s="1915" t="str">
        <f>IF(Control!$H$10=Control!$K$10,INDEX('BESS OM Costs'!$K$37:$O$51,MATCH($T18,'BESS OM Costs'!$D$37:$D$51,0),MATCH(H$11,'BESS OM Costs'!$K$29:$O$29,0))/10^6,"-")</f>
        <v>-</v>
      </c>
      <c r="I18" s="1915" t="str">
        <f>IF(Control!$H$10=Control!$K$10,INDEX('BESS OM Costs'!$K$37:$O$51,MATCH($T18,'BESS OM Costs'!$D$37:$D$51,0),MATCH(I$11,'BESS OM Costs'!$K$29:$O$29,0))/10^6,"-")</f>
        <v>-</v>
      </c>
      <c r="J18" s="1915" t="str">
        <f>IF(Control!$H$10=Control!$K$10,INDEX('BESS OM Costs'!$K$37:$O$51,MATCH($T18,'BESS OM Costs'!$D$37:$D$51,0),MATCH(J$11,'BESS OM Costs'!$K$29:$O$29,0))/10^6,"-")</f>
        <v>-</v>
      </c>
      <c r="K18" s="1915"/>
      <c r="L18" s="1915" t="str">
        <f>IF(Control!$H$10=Control!$K$10,INDEX('BESS OM Costs'!$R$40:$V$46,MATCH($T18,'BESS OM Costs'!$D$40:$D$46,0),MATCH(L$11,'BESS OM Costs'!$R$29:$V$29,0))/10^6,"-")</f>
        <v>-</v>
      </c>
      <c r="M18" s="1915" t="str">
        <f>IF(Control!$H$10=Control!$K$10,INDEX('BESS OM Costs'!$R$40:$V$46,MATCH($T18,'BESS OM Costs'!$D$40:$D$46,0),MATCH(M$11,'BESS OM Costs'!$R$29:$V$29,0))/10^6,"-")</f>
        <v>-</v>
      </c>
      <c r="N18" s="1915" t="str">
        <f>IF(Control!$H$10=Control!$K$10,INDEX('BESS OM Costs'!$R$40:$V$46,MATCH($T18,'BESS OM Costs'!$D$40:$D$46,0),MATCH(N$11,'BESS OM Costs'!$R$29:$V$29,0))/10^6,"-")</f>
        <v>-</v>
      </c>
      <c r="O18" s="1915" t="str">
        <f>IF(Control!$H$10=Control!$K$10,INDEX('BESS OM Costs'!$R$40:$V$46,MATCH($T18,'BESS OM Costs'!$D$40:$D$46,0),MATCH(O$11,'BESS OM Costs'!$R$29:$V$29,0))/10^6,"-")</f>
        <v>-</v>
      </c>
      <c r="P18" s="1915" t="str">
        <f>IF(Control!$H$10=Control!$K$10,INDEX('BESS OM Costs'!$R$40:$V$46,MATCH($T18,'BESS OM Costs'!$D$40:$D$46,0),MATCH(P$11,'BESS OM Costs'!$R$29:$V$29,0))/10^6,"-")</f>
        <v>-</v>
      </c>
      <c r="T18" s="1300" t="str">
        <f>'BESS OM Costs'!$D42</f>
        <v>Station Load / Aux Load</v>
      </c>
      <c r="U18" s="993"/>
      <c r="W18" s="993"/>
      <c r="X18" s="993"/>
      <c r="Y18" s="993"/>
    </row>
    <row r="19" spans="4:25" s="683" customFormat="1" ht="15" customHeight="1" x14ac:dyDescent="0.35">
      <c r="D19" s="1562" t="str">
        <f t="shared" si="0"/>
        <v>Miscellaneous Owner Costs</v>
      </c>
      <c r="E19" s="1562"/>
      <c r="F19" s="1916" t="str">
        <f>IF(Control!$H$10=Control!$K$10,INDEX('BESS OM Costs'!$K$37:$O$51,MATCH($T19,'BESS OM Costs'!$D$37:$D$51,0),MATCH(F$11,'BESS OM Costs'!$K$29:$O$29,0))/10^6,"-")</f>
        <v>-</v>
      </c>
      <c r="G19" s="1916" t="str">
        <f>IF(Control!$H$10=Control!$K$10,INDEX('BESS OM Costs'!$K$37:$O$51,MATCH($T19,'BESS OM Costs'!$D$37:$D$51,0),MATCH(G$11,'BESS OM Costs'!$K$29:$O$29,0))/10^6,"-")</f>
        <v>-</v>
      </c>
      <c r="H19" s="1916" t="str">
        <f>IF(Control!$H$10=Control!$K$10,INDEX('BESS OM Costs'!$K$37:$O$51,MATCH($T19,'BESS OM Costs'!$D$37:$D$51,0),MATCH(H$11,'BESS OM Costs'!$K$29:$O$29,0))/10^6,"-")</f>
        <v>-</v>
      </c>
      <c r="I19" s="1916" t="str">
        <f>IF(Control!$H$10=Control!$K$10,INDEX('BESS OM Costs'!$K$37:$O$51,MATCH($T19,'BESS OM Costs'!$D$37:$D$51,0),MATCH(I$11,'BESS OM Costs'!$K$29:$O$29,0))/10^6,"-")</f>
        <v>-</v>
      </c>
      <c r="J19" s="1916" t="str">
        <f>IF(Control!$H$10=Control!$K$10,INDEX('BESS OM Costs'!$K$37:$O$51,MATCH($T19,'BESS OM Costs'!$D$37:$D$51,0),MATCH(J$11,'BESS OM Costs'!$K$29:$O$29,0))/10^6,"-")</f>
        <v>-</v>
      </c>
      <c r="K19" s="1916"/>
      <c r="L19" s="1916" t="str">
        <f>IF(Control!$H$10=Control!$K$10,INDEX('BESS OM Costs'!$R$40:$V$46,MATCH($T19,'BESS OM Costs'!$D$40:$D$46,0),MATCH(L$11,'BESS OM Costs'!$R$29:$V$29,0))/10^6,"-")</f>
        <v>-</v>
      </c>
      <c r="M19" s="1916" t="str">
        <f>IF(Control!$H$10=Control!$K$10,INDEX('BESS OM Costs'!$R$40:$V$46,MATCH($T19,'BESS OM Costs'!$D$40:$D$46,0),MATCH(M$11,'BESS OM Costs'!$R$29:$V$29,0))/10^6,"-")</f>
        <v>-</v>
      </c>
      <c r="N19" s="1916" t="str">
        <f>IF(Control!$H$10=Control!$K$10,INDEX('BESS OM Costs'!$R$40:$V$46,MATCH($T19,'BESS OM Costs'!$D$40:$D$46,0),MATCH(N$11,'BESS OM Costs'!$R$29:$V$29,0))/10^6,"-")</f>
        <v>-</v>
      </c>
      <c r="O19" s="1916" t="str">
        <f>IF(Control!$H$10=Control!$K$10,INDEX('BESS OM Costs'!$R$40:$V$46,MATCH($T19,'BESS OM Costs'!$D$40:$D$46,0),MATCH(O$11,'BESS OM Costs'!$R$29:$V$29,0))/10^6,"-")</f>
        <v>-</v>
      </c>
      <c r="P19" s="1916" t="str">
        <f>IF(Control!$H$10=Control!$K$10,INDEX('BESS OM Costs'!$R$40:$V$46,MATCH($T19,'BESS OM Costs'!$D$40:$D$46,0),MATCH(P$11,'BESS OM Costs'!$R$29:$V$29,0))/10^6,"-")</f>
        <v>-</v>
      </c>
      <c r="Q19" s="82"/>
      <c r="R19" s="82"/>
      <c r="T19" s="1301" t="str">
        <f>'BESS OM Costs'!$D43</f>
        <v>Miscellaneous Owner Costs</v>
      </c>
      <c r="U19" s="993"/>
      <c r="W19" s="993"/>
      <c r="X19" s="993"/>
      <c r="Y19" s="993"/>
    </row>
    <row r="20" spans="4:25" s="683" customFormat="1" ht="15" customHeight="1" x14ac:dyDescent="0.35">
      <c r="D20" s="63" t="str">
        <f t="shared" si="0"/>
        <v xml:space="preserve">Operating Insurance  </v>
      </c>
      <c r="E20" s="63"/>
      <c r="F20" s="1915" t="str">
        <f>IF(Control!$H$10=Control!$K$10,INDEX('BESS OM Costs'!$K$37:$O$51,MATCH($T20,'BESS OM Costs'!$D$37:$D$51,0),MATCH(F$11,'BESS OM Costs'!$K$29:$O$29,0))/10^6,"-")</f>
        <v>-</v>
      </c>
      <c r="G20" s="1915" t="str">
        <f>IF(Control!$H$10=Control!$K$10,INDEX('BESS OM Costs'!$K$37:$O$51,MATCH($T20,'BESS OM Costs'!$D$37:$D$51,0),MATCH(G$11,'BESS OM Costs'!$K$29:$O$29,0))/10^6,"-")</f>
        <v>-</v>
      </c>
      <c r="H20" s="1915" t="str">
        <f>IF(Control!$H$10=Control!$K$10,INDEX('BESS OM Costs'!$K$37:$O$51,MATCH($T20,'BESS OM Costs'!$D$37:$D$51,0),MATCH(H$11,'BESS OM Costs'!$K$29:$O$29,0))/10^6,"-")</f>
        <v>-</v>
      </c>
      <c r="I20" s="1915" t="str">
        <f>IF(Control!$H$10=Control!$K$10,INDEX('BESS OM Costs'!$K$37:$O$51,MATCH($T20,'BESS OM Costs'!$D$37:$D$51,0),MATCH(I$11,'BESS OM Costs'!$K$29:$O$29,0))/10^6,"-")</f>
        <v>-</v>
      </c>
      <c r="J20" s="1915" t="str">
        <f>IF(Control!$H$10=Control!$K$10,INDEX('BESS OM Costs'!$K$37:$O$51,MATCH($T20,'BESS OM Costs'!$D$37:$D$51,0),MATCH(J$11,'BESS OM Costs'!$K$29:$O$29,0))/10^6,"-")</f>
        <v>-</v>
      </c>
      <c r="K20" s="1915"/>
      <c r="L20" s="1915" t="str">
        <f>IF(Control!$H$10=Control!$K$10,INDEX('BESS OM Costs'!$R$40:$V$46,MATCH($T20,'BESS OM Costs'!$D$40:$D$46,0),MATCH(L$11,'BESS OM Costs'!$R$29:$V$29,0))/10^6,"-")</f>
        <v>-</v>
      </c>
      <c r="M20" s="1915" t="str">
        <f>IF(Control!$H$10=Control!$K$10,INDEX('BESS OM Costs'!$R$40:$V$46,MATCH($T20,'BESS OM Costs'!$D$40:$D$46,0),MATCH(M$11,'BESS OM Costs'!$R$29:$V$29,0))/10^6,"-")</f>
        <v>-</v>
      </c>
      <c r="N20" s="1915" t="str">
        <f>IF(Control!$H$10=Control!$K$10,INDEX('BESS OM Costs'!$R$40:$V$46,MATCH($T20,'BESS OM Costs'!$D$40:$D$46,0),MATCH(N$11,'BESS OM Costs'!$R$29:$V$29,0))/10^6,"-")</f>
        <v>-</v>
      </c>
      <c r="O20" s="1915" t="str">
        <f>IF(Control!$H$10=Control!$K$10,INDEX('BESS OM Costs'!$R$40:$V$46,MATCH($T20,'BESS OM Costs'!$D$40:$D$46,0),MATCH(O$11,'BESS OM Costs'!$R$29:$V$29,0))/10^6,"-")</f>
        <v>-</v>
      </c>
      <c r="P20" s="1915" t="str">
        <f>IF(Control!$H$10=Control!$K$10,INDEX('BESS OM Costs'!$R$40:$V$46,MATCH($T20,'BESS OM Costs'!$D$40:$D$46,0),MATCH(P$11,'BESS OM Costs'!$R$29:$V$29,0))/10^6,"-")</f>
        <v>-</v>
      </c>
      <c r="Q20" s="82"/>
      <c r="R20" s="82"/>
      <c r="T20" s="1301" t="str">
        <f>'BESS OM Costs'!$D44</f>
        <v xml:space="preserve">Operating Insurance  </v>
      </c>
      <c r="U20" s="993"/>
      <c r="W20" s="993"/>
      <c r="X20" s="993"/>
      <c r="Y20" s="993"/>
    </row>
    <row r="21" spans="4:25" s="683" customFormat="1" ht="15" customHeight="1" x14ac:dyDescent="0.35">
      <c r="D21" s="1562" t="str">
        <f t="shared" si="0"/>
        <v>Land Lease or Property Taxes</v>
      </c>
      <c r="E21" s="1562"/>
      <c r="F21" s="1871" t="str">
        <f>IF(Control!$H$10=Control!$K$10,INDEX('BESS OM Costs'!$K$37:$O$51,MATCH($T21,'BESS OM Costs'!$D$37:$D$51,0),MATCH(F$11,'BESS OM Costs'!$K$29:$O$29,0))/10^6,"-")</f>
        <v>-</v>
      </c>
      <c r="G21" s="1871" t="str">
        <f>IF(Control!$H$10=Control!$K$10,INDEX('BESS OM Costs'!$K$37:$O$51,MATCH($T21,'BESS OM Costs'!$D$37:$D$51,0),MATCH(G$11,'BESS OM Costs'!$K$29:$O$29,0))/10^6,"-")</f>
        <v>-</v>
      </c>
      <c r="H21" s="1871" t="str">
        <f>IF(Control!$H$10=Control!$K$10,INDEX('BESS OM Costs'!$K$37:$O$51,MATCH($T21,'BESS OM Costs'!$D$37:$D$51,0),MATCH(H$11,'BESS OM Costs'!$K$29:$O$29,0))/10^6,"-")</f>
        <v>-</v>
      </c>
      <c r="I21" s="1871" t="str">
        <f>IF(Control!$H$10=Control!$K$10,INDEX('BESS OM Costs'!$K$37:$O$51,MATCH($T21,'BESS OM Costs'!$D$37:$D$51,0),MATCH(I$11,'BESS OM Costs'!$K$29:$O$29,0))/10^6,"-")</f>
        <v>-</v>
      </c>
      <c r="J21" s="1871" t="str">
        <f>IF(Control!$H$10=Control!$K$10,INDEX('BESS OM Costs'!$K$37:$O$51,MATCH($T21,'BESS OM Costs'!$D$37:$D$51,0),MATCH(J$11,'BESS OM Costs'!$K$29:$O$29,0))/10^6,"-")</f>
        <v>-</v>
      </c>
      <c r="K21" s="1871"/>
      <c r="L21" s="1871" t="str">
        <f>IF(Control!$H$10=Control!$K$10,INDEX('BESS OM Costs'!$R$40:$V$46,MATCH($T21,'BESS OM Costs'!$D$40:$D$46,0),MATCH(L$11,'BESS OM Costs'!$R$29:$V$29,0))/10^6,"-")</f>
        <v>-</v>
      </c>
      <c r="M21" s="1871" t="str">
        <f>IF(Control!$H$10=Control!$K$10,INDEX('BESS OM Costs'!$R$40:$V$46,MATCH($T21,'BESS OM Costs'!$D$40:$D$46,0),MATCH(M$11,'BESS OM Costs'!$R$29:$V$29,0))/10^6,"-")</f>
        <v>-</v>
      </c>
      <c r="N21" s="1871" t="str">
        <f>IF(Control!$H$10=Control!$K$10,INDEX('BESS OM Costs'!$R$40:$V$46,MATCH($T21,'BESS OM Costs'!$D$40:$D$46,0),MATCH(N$11,'BESS OM Costs'!$R$29:$V$29,0))/10^6,"-")</f>
        <v>-</v>
      </c>
      <c r="O21" s="1871" t="str">
        <f>IF(Control!$H$10=Control!$K$10,INDEX('BESS OM Costs'!$R$40:$V$46,MATCH($T21,'BESS OM Costs'!$D$40:$D$46,0),MATCH(O$11,'BESS OM Costs'!$R$29:$V$29,0))/10^6,"-")</f>
        <v>-</v>
      </c>
      <c r="P21" s="1871" t="str">
        <f>IF(Control!$H$10=Control!$K$10,INDEX('BESS OM Costs'!$R$40:$V$46,MATCH($T21,'BESS OM Costs'!$D$40:$D$46,0),MATCH(P$11,'BESS OM Costs'!$R$29:$V$29,0))/10^6,"-")</f>
        <v>-</v>
      </c>
      <c r="Q21" s="193"/>
      <c r="R21" s="82"/>
      <c r="T21" s="1300" t="str">
        <f>'S&amp;L BESS - O&amp;M Costs'!$D$18</f>
        <v>Land Lease or Property Taxes</v>
      </c>
      <c r="U21" s="993"/>
      <c r="W21" s="993"/>
      <c r="X21" s="993"/>
      <c r="Y21" s="993"/>
    </row>
    <row r="22" spans="4:25" s="683" customFormat="1" ht="15" customHeight="1" x14ac:dyDescent="0.35">
      <c r="D22" s="63" t="s">
        <v>648</v>
      </c>
      <c r="E22" s="63"/>
      <c r="F22" s="1917" t="str">
        <f>IF(Control!$H$10=Control!$K$10,INDEX('BESS OM Costs'!$K$37:$O$51,MATCH($T22,'BESS OM Costs'!$D$37:$D$51,0),MATCH(F$11,'BESS OM Costs'!$K$29:$O$29,0))/10^6,"-")</f>
        <v>-</v>
      </c>
      <c r="G22" s="1917" t="str">
        <f>IF(Control!$H$10=Control!$K$10,INDEX('BESS OM Costs'!$K$37:$O$51,MATCH($T22,'BESS OM Costs'!$D$37:$D$51,0),MATCH(G$11,'BESS OM Costs'!$K$29:$O$29,0))/10^6,"-")</f>
        <v>-</v>
      </c>
      <c r="H22" s="1917" t="str">
        <f>IF(Control!$H$10=Control!$K$10,INDEX('BESS OM Costs'!$K$37:$O$51,MATCH($T22,'BESS OM Costs'!$D$37:$D$51,0),MATCH(H$11,'BESS OM Costs'!$K$29:$O$29,0))/10^6,"-")</f>
        <v>-</v>
      </c>
      <c r="I22" s="1917" t="str">
        <f>IF(Control!$H$10=Control!$K$10,INDEX('BESS OM Costs'!$K$37:$O$51,MATCH($T22,'BESS OM Costs'!$D$37:$D$51,0),MATCH(I$11,'BESS OM Costs'!$K$29:$O$29,0))/10^6,"-")</f>
        <v>-</v>
      </c>
      <c r="J22" s="1917" t="str">
        <f>IF(Control!$H$10=Control!$K$10,INDEX('BESS OM Costs'!$K$37:$O$51,MATCH($T22,'BESS OM Costs'!$D$37:$D$51,0),MATCH(J$11,'BESS OM Costs'!$K$29:$O$29,0))/10^6,"-")</f>
        <v>-</v>
      </c>
      <c r="K22" s="1917"/>
      <c r="L22" s="1917" t="str">
        <f>IF(Control!$H$10=Control!$K$10,INDEX('BESS OM Costs'!$R$40:$V$46,MATCH($T22,'BESS OM Costs'!$D$40:$D$46,0),MATCH(L$11,'BESS OM Costs'!$R$29:$V$29,0))/10^6,"-")</f>
        <v>-</v>
      </c>
      <c r="M22" s="1917" t="str">
        <f>IF(Control!$H$10=Control!$K$10,INDEX('BESS OM Costs'!$R$40:$V$46,MATCH($T22,'BESS OM Costs'!$D$40:$D$46,0),MATCH(M$11,'BESS OM Costs'!$R$29:$V$29,0))/10^6,"-")</f>
        <v>-</v>
      </c>
      <c r="N22" s="1917" t="str">
        <f>IF(Control!$H$10=Control!$K$10,INDEX('BESS OM Costs'!$R$40:$V$46,MATCH($T22,'BESS OM Costs'!$D$40:$D$46,0),MATCH(N$11,'BESS OM Costs'!$R$29:$V$29,0))/10^6,"-")</f>
        <v>-</v>
      </c>
      <c r="O22" s="1917" t="str">
        <f>IF(Control!$H$10=Control!$K$10,INDEX('BESS OM Costs'!$R$40:$V$46,MATCH($T22,'BESS OM Costs'!$D$40:$D$46,0),MATCH(O$11,'BESS OM Costs'!$R$29:$V$29,0))/10^6,"-")</f>
        <v>-</v>
      </c>
      <c r="P22" s="1917" t="str">
        <f>IF(Control!$H$10=Control!$K$10,INDEX('BESS OM Costs'!$R$40:$V$46,MATCH($T22,'BESS OM Costs'!$D$40:$D$46,0),MATCH(P$11,'BESS OM Costs'!$R$29:$V$29,0))/10^6,"-")</f>
        <v>-</v>
      </c>
      <c r="Q22" s="82"/>
      <c r="R22" s="82"/>
      <c r="T22" s="1300" t="str">
        <f>'BESS OM Costs'!$D$46</f>
        <v>Interest on Working Capital</v>
      </c>
      <c r="U22" s="993"/>
      <c r="W22" s="993"/>
      <c r="X22" s="993"/>
      <c r="Y22" s="993"/>
    </row>
    <row r="23" spans="4:25" s="683" customFormat="1" ht="6" customHeight="1" x14ac:dyDescent="0.35">
      <c r="D23" s="1562"/>
      <c r="E23" s="1562"/>
      <c r="F23" s="1302"/>
      <c r="G23" s="1302"/>
      <c r="H23" s="1302"/>
      <c r="I23" s="1302"/>
      <c r="J23" s="1302"/>
      <c r="K23" s="1302"/>
      <c r="L23" s="1302"/>
      <c r="M23" s="1302"/>
      <c r="N23" s="1302"/>
      <c r="O23" s="1302"/>
      <c r="P23" s="1302"/>
      <c r="Q23" s="82"/>
      <c r="R23" s="82"/>
      <c r="T23" s="1300"/>
      <c r="U23" s="993"/>
      <c r="W23" s="993"/>
      <c r="X23" s="993"/>
      <c r="Y23" s="993"/>
    </row>
    <row r="24" spans="4:25" s="1498" customFormat="1" ht="15" customHeight="1" x14ac:dyDescent="0.35">
      <c r="D24" s="1987" t="s">
        <v>553</v>
      </c>
      <c r="E24" s="1519"/>
      <c r="F24" s="1519" t="str">
        <f>IF(Control!$H$10=Control!$K$10,SUM(F16:F22),"-")</f>
        <v>-</v>
      </c>
      <c r="G24" s="1519" t="str">
        <f>IF(Control!$H$10=Control!$K$10,SUM(G16:G22),"-")</f>
        <v>-</v>
      </c>
      <c r="H24" s="1519" t="str">
        <f>IF(Control!$H$10=Control!$K$10,SUM(H16:H22),"-")</f>
        <v>-</v>
      </c>
      <c r="I24" s="1519" t="str">
        <f>IF(Control!$H$10=Control!$K$10,SUM(I16:I22),"-")</f>
        <v>-</v>
      </c>
      <c r="J24" s="1519" t="str">
        <f>IF(Control!$H$10=Control!$K$10,SUM(J16:J22),"-")</f>
        <v>-</v>
      </c>
      <c r="K24" s="1519"/>
      <c r="L24" s="1519" t="str">
        <f>IF(Control!$H$10=Control!$K$10,SUM(L16:L22),"-")</f>
        <v>-</v>
      </c>
      <c r="M24" s="1519" t="str">
        <f>IF(Control!$H$10=Control!$K$10,SUM(M16:M22),"-")</f>
        <v>-</v>
      </c>
      <c r="N24" s="1519" t="str">
        <f>IF(Control!$H$10=Control!$K$10,SUM(N16:N22),"-")</f>
        <v>-</v>
      </c>
      <c r="O24" s="1519" t="str">
        <f>IF(Control!$H$10=Control!$K$10,SUM(O16:O22),"-")</f>
        <v>-</v>
      </c>
      <c r="P24" s="1519" t="str">
        <f>IF(Control!$H$10=Control!$K$10,SUM(P16:P22),"-")</f>
        <v>-</v>
      </c>
      <c r="Q24" s="82"/>
      <c r="R24" s="82"/>
      <c r="T24" s="1300"/>
      <c r="U24" s="993"/>
      <c r="W24" s="993"/>
      <c r="X24" s="993"/>
      <c r="Y24" s="993"/>
    </row>
    <row r="25" spans="4:25" s="1498" customFormat="1" ht="15" customHeight="1" x14ac:dyDescent="0.35">
      <c r="D25" s="1988" t="s">
        <v>554</v>
      </c>
      <c r="E25" s="961"/>
      <c r="F25" s="961" t="str">
        <f>IFERROR(IF(Control!$H$10=Control!$K$10,(F$24*10^6)/(F$12*10^3),"-"),0)</f>
        <v>-</v>
      </c>
      <c r="G25" s="961" t="str">
        <f>IFERROR(IF(Control!$H$10=Control!$K$10,(G$24*10^6)/(G$12*10^3),"-"),0)</f>
        <v>-</v>
      </c>
      <c r="H25" s="961" t="str">
        <f>IFERROR(IF(Control!$H$10=Control!$K$10,(H$24*10^6)/(H$12*10^3),"-"),0)</f>
        <v>-</v>
      </c>
      <c r="I25" s="961" t="str">
        <f>IFERROR(IF(Control!$H$10=Control!$K$10,(I$24*10^6)/(I$12*10^3),"-"),0)</f>
        <v>-</v>
      </c>
      <c r="J25" s="961" t="str">
        <f>IFERROR(IF(Control!$H$10=Control!$K$10,(J$24*10^6)/(J$12*10^3),"-"),0)</f>
        <v>-</v>
      </c>
      <c r="K25" s="961"/>
      <c r="L25" s="961" t="str">
        <f>IFERROR(IF(Control!$H$10=Control!$K$10,(L$24*10^6)/(L$12*10^3),"-"),0)</f>
        <v>-</v>
      </c>
      <c r="M25" s="961" t="str">
        <f>IFERROR(IF(Control!$H$10=Control!$K$10,(M$24*10^6)/(M$12*10^3),"-"),0)</f>
        <v>-</v>
      </c>
      <c r="N25" s="961" t="str">
        <f>IFERROR(IF(Control!$H$10=Control!$K$10,(N$24*10^6)/(N$12*10^3),"-"),0)</f>
        <v>-</v>
      </c>
      <c r="O25" s="961" t="str">
        <f>IFERROR(IF(Control!$H$10=Control!$K$10,(O$24*10^6)/(O$12*10^3),"-"),0)</f>
        <v>-</v>
      </c>
      <c r="P25" s="961" t="str">
        <f>IFERROR(IF(Control!$H$10=Control!$K$10,(P$24*10^6)/(P$12*10^3),"-"),0)</f>
        <v>-</v>
      </c>
      <c r="Q25" s="82"/>
      <c r="R25" s="82"/>
      <c r="T25" s="1299"/>
      <c r="U25" s="993"/>
      <c r="W25" s="993"/>
      <c r="X25" s="993"/>
      <c r="Y25" s="993"/>
    </row>
    <row r="26" spans="4:25" s="1498" customFormat="1" ht="15" customHeight="1" x14ac:dyDescent="0.35">
      <c r="D26" s="1987" t="s">
        <v>555</v>
      </c>
      <c r="E26" s="1563"/>
      <c r="F26" s="1519" t="str">
        <f>IF(Control!$H$10=Control!$K$10,_xlfn.XLOOKUP(F$11,Control!$I$79:$M$79,Control!$I$89:$M$89)/'Cumulative Inflation'!$J$20-F$29,"-")</f>
        <v>-</v>
      </c>
      <c r="G26" s="1519" t="str">
        <f>IF(Control!$H$10=Control!$K$10,_xlfn.XLOOKUP(G$11,Control!$I$79:$M$79,Control!$I$89:$M$89)/'Cumulative Inflation'!$J$20-G$29,"-")</f>
        <v>-</v>
      </c>
      <c r="H26" s="1519" t="str">
        <f>IF(Control!$H$10=Control!$K$10,_xlfn.XLOOKUP(H$11,Control!$I$79:$M$79,Control!$I$89:$M$89)/'Cumulative Inflation'!$J$20-H$29,"-")</f>
        <v>-</v>
      </c>
      <c r="I26" s="1519" t="str">
        <f>IF(Control!$H$10=Control!$K$10,_xlfn.XLOOKUP(I$11,Control!$I$79:$M$79,Control!$I$89:$M$89)/'Cumulative Inflation'!$J$20-I$29,"-")</f>
        <v>-</v>
      </c>
      <c r="J26" s="1519" t="str">
        <f>IF(Control!$H$10=Control!$K$10,_xlfn.XLOOKUP(J$11,Control!$I$79:$M$79,Control!$I$89:$M$89)/'Cumulative Inflation'!$J$20-J$29,"-")</f>
        <v>-</v>
      </c>
      <c r="K26" s="1519"/>
      <c r="L26" s="1519" t="str">
        <f>IF(Control!$H$10=Control!$K$10,_xlfn.XLOOKUP(L$11,Control!$I$79:$M$79,Control!$I$89:$M$89)-L$29,"-")</f>
        <v>-</v>
      </c>
      <c r="M26" s="1519" t="str">
        <f>IF(Control!$H$10=Control!$K$10,_xlfn.XLOOKUP(M$11,Control!$I$79:$M$79,Control!$I$89:$M$89)-M$29,"-")</f>
        <v>-</v>
      </c>
      <c r="N26" s="1519" t="str">
        <f>IF(Control!$H$10=Control!$K$10,_xlfn.XLOOKUP(N$11,Control!$I$79:$M$79,Control!$I$89:$M$89)-N$29,"-")</f>
        <v>-</v>
      </c>
      <c r="O26" s="1519" t="str">
        <f>IF(Control!$H$10=Control!$K$10,_xlfn.XLOOKUP(O$11,Control!$I$79:$M$79,Control!$I$89:$M$89)-O$29,"-")</f>
        <v>-</v>
      </c>
      <c r="P26" s="1519" t="str">
        <f>IF(Control!$H$10=Control!$K$10,_xlfn.XLOOKUP(P$11,Control!$I$79:$M$79,Control!$I$89:$M$89)-P$29,"-")</f>
        <v>-</v>
      </c>
      <c r="Q26" s="348"/>
      <c r="R26" s="348"/>
      <c r="T26" s="1299"/>
      <c r="U26" s="993"/>
      <c r="W26" s="993"/>
      <c r="X26" s="993"/>
      <c r="Y26" s="993"/>
    </row>
    <row r="27" spans="4:25" ht="6" customHeight="1" x14ac:dyDescent="0.35">
      <c r="D27" s="1500"/>
      <c r="E27" s="683"/>
      <c r="F27" s="1564"/>
      <c r="G27" s="1564"/>
      <c r="H27" s="1564"/>
      <c r="I27" s="1564"/>
      <c r="J27" s="1564"/>
      <c r="K27" s="1564"/>
      <c r="L27" s="1564"/>
      <c r="M27" s="1564"/>
      <c r="N27" s="1564"/>
      <c r="O27" s="1564"/>
      <c r="P27" s="1564"/>
    </row>
    <row r="28" spans="4:25" ht="15" customHeight="1" x14ac:dyDescent="0.35">
      <c r="D28" s="1654" t="s">
        <v>236</v>
      </c>
      <c r="E28" s="68"/>
      <c r="F28" s="954"/>
      <c r="G28" s="954"/>
      <c r="H28" s="954"/>
      <c r="I28" s="954"/>
      <c r="J28" s="958"/>
      <c r="K28" s="958"/>
      <c r="L28" s="958"/>
      <c r="M28" s="958"/>
      <c r="N28" s="958"/>
      <c r="O28" s="958"/>
      <c r="P28" s="958"/>
    </row>
    <row r="29" spans="4:25" ht="15" customHeight="1" x14ac:dyDescent="0.35">
      <c r="D29" s="1321" t="s">
        <v>196</v>
      </c>
      <c r="E29" s="1321"/>
      <c r="F29" s="1314" t="str">
        <f>IF(Control!$H$10=Control!$K$10,_xlfn.XLOOKUP(F$11,Control!$I$79:$M$79,Control!$I$93:$M$93)/'Cumulative Inflation'!$J$20/Control!$H$29,"-")</f>
        <v>-</v>
      </c>
      <c r="G29" s="1314" t="str">
        <f>IF(Control!$H$10=Control!$K$10,_xlfn.XLOOKUP(G$11,Control!$I$79:$M$79,Control!$I$93:$M$93)/'Cumulative Inflation'!$J$20/Control!$H$29,"-")</f>
        <v>-</v>
      </c>
      <c r="H29" s="1343" t="str">
        <f>IF(Control!$H$10=Control!$K$10,_xlfn.XLOOKUP(H$11,Control!$I$79:$M$79,Control!$I$93:$M$93)/'Cumulative Inflation'!$J$20/Control!$H$29,"-")</f>
        <v>-</v>
      </c>
      <c r="I29" s="1343" t="str">
        <f>IF(Control!$H$10=Control!$K$10,_xlfn.XLOOKUP(I$11,Control!$I$79:$M$79,Control!$I$93:$M$93)/'Cumulative Inflation'!$J$20/Control!$H$29,"-")</f>
        <v>-</v>
      </c>
      <c r="J29" s="1314" t="str">
        <f>IF(Control!$H$10=Control!$K$10,_xlfn.XLOOKUP(J$11,Control!$I$79:$M$79,Control!$I$93:$M$93)/'Cumulative Inflation'!$J$20/Control!$H$29,"-")</f>
        <v>-</v>
      </c>
      <c r="K29" s="1314"/>
      <c r="L29" s="1314" t="str">
        <f>IF(Control!$H$10=Control!$K$10,_xlfn.XLOOKUP(L$11,Control!$I$79:$M$79,Control!$I$93:$M$93),"-")</f>
        <v>-</v>
      </c>
      <c r="M29" s="1314" t="str">
        <f>IF(Control!$H$10=Control!$K$10,_xlfn.XLOOKUP(M$11,Control!$I$79:$M$79,Control!$I$93:$M$93),"-")</f>
        <v>-</v>
      </c>
      <c r="N29" s="1343" t="str">
        <f>IF(Control!$H$10=Control!$K$10,_xlfn.XLOOKUP(N$11,Control!$I$79:$M$79,Control!$I$93:$M$93),"-")</f>
        <v>-</v>
      </c>
      <c r="O29" s="1314" t="str">
        <f>IF(Control!$H$10=Control!$K$10,_xlfn.XLOOKUP(O$11,Control!$I$79:$M$79,Control!$I$93:$M$93),"-")</f>
        <v>-</v>
      </c>
      <c r="P29" s="1314" t="str">
        <f>IF(Control!$H$10=Control!$K$10,_xlfn.XLOOKUP(P$11,Control!$I$79:$M$79,Control!$I$93:$M$93),"-")</f>
        <v>-</v>
      </c>
      <c r="Q29" s="193"/>
    </row>
    <row r="30" spans="4:25" ht="6" customHeight="1" x14ac:dyDescent="0.35">
      <c r="D30" s="1565"/>
      <c r="E30" s="1565"/>
      <c r="F30" s="1566"/>
      <c r="G30" s="1567"/>
      <c r="H30" s="1567"/>
      <c r="I30" s="1567"/>
      <c r="J30" s="1566"/>
      <c r="K30" s="1566"/>
      <c r="L30" s="1566"/>
      <c r="M30" s="1566"/>
      <c r="N30" s="1566"/>
      <c r="O30" s="1566"/>
      <c r="P30" s="1566"/>
    </row>
    <row r="31" spans="4:25" ht="15" customHeight="1" x14ac:dyDescent="0.35">
      <c r="D31" s="1658" t="s">
        <v>556</v>
      </c>
      <c r="E31" s="1315"/>
      <c r="F31" s="1320"/>
      <c r="G31" s="1320"/>
      <c r="H31" s="1320"/>
      <c r="I31" s="1320"/>
      <c r="J31" s="1317"/>
      <c r="K31" s="1317"/>
      <c r="L31" s="1317"/>
      <c r="M31" s="1317"/>
      <c r="N31" s="1317"/>
      <c r="O31" s="1317"/>
      <c r="P31" s="1317"/>
    </row>
    <row r="32" spans="4:25" ht="15" customHeight="1" x14ac:dyDescent="0.35">
      <c r="D32" s="1989" t="s">
        <v>197</v>
      </c>
      <c r="E32" s="1774"/>
      <c r="F32" s="1774" t="str">
        <f>IF(Control!$H$10=Control!$K$10,F$26+F$29,"-")</f>
        <v>-</v>
      </c>
      <c r="G32" s="1774" t="str">
        <f>IF(Control!$H$10=Control!$K$10,G$26+G$29,"-")</f>
        <v>-</v>
      </c>
      <c r="H32" s="1774" t="str">
        <f>IF(Control!$H$10=Control!$K$10,H$26+H$29,"-")</f>
        <v>-</v>
      </c>
      <c r="I32" s="1774" t="str">
        <f>IF(Control!$H$10=Control!$K$10,I$26+I$29,"-")</f>
        <v>-</v>
      </c>
      <c r="J32" s="1774" t="str">
        <f>IF(Control!$H$10=Control!$K$10,J$26+J$29,"-")</f>
        <v>-</v>
      </c>
      <c r="K32" s="1774"/>
      <c r="L32" s="1774" t="str">
        <f>IF(Control!$H$10=Control!$K$10,L$26+L$29,"-")</f>
        <v>-</v>
      </c>
      <c r="M32" s="1774" t="str">
        <f>IF(Control!$H$10=Control!$K$10,M$26+M$29,"-")</f>
        <v>-</v>
      </c>
      <c r="N32" s="1774" t="str">
        <f>IF(Control!$H$10=Control!$K$10,N$26+N$29,"-")</f>
        <v>-</v>
      </c>
      <c r="O32" s="1774" t="str">
        <f>IF(Control!$H$10=Control!$K$10,O$26+O$29,"-")</f>
        <v>-</v>
      </c>
      <c r="P32" s="1774" t="str">
        <f>IF(Control!$H$10=Control!$K$10,P$26+P$29,"-")</f>
        <v>-</v>
      </c>
    </row>
    <row r="33" spans="4:98" ht="6" customHeight="1" thickBot="1" x14ac:dyDescent="0.4">
      <c r="D33" s="686"/>
      <c r="E33" s="686"/>
      <c r="F33" s="686"/>
      <c r="G33" s="686"/>
      <c r="H33" s="686"/>
      <c r="I33" s="686"/>
      <c r="J33" s="752"/>
      <c r="K33" s="752"/>
      <c r="L33" s="752"/>
      <c r="M33" s="752"/>
      <c r="N33" s="752"/>
      <c r="O33" s="752"/>
      <c r="P33" s="752"/>
    </row>
    <row r="34" spans="4:98" ht="6" customHeight="1" thickTop="1" x14ac:dyDescent="0.35">
      <c r="D34" s="683"/>
      <c r="E34" s="683"/>
      <c r="F34" s="683"/>
      <c r="G34" s="683"/>
      <c r="H34" s="683"/>
      <c r="I34" s="683"/>
      <c r="J34" s="753"/>
      <c r="K34" s="753"/>
      <c r="L34" s="753"/>
      <c r="M34" s="753"/>
      <c r="N34" s="753"/>
      <c r="O34" s="753"/>
      <c r="P34" s="753"/>
    </row>
    <row r="35" spans="4:98" ht="15" customHeight="1" x14ac:dyDescent="0.35">
      <c r="D35" s="1397" t="s">
        <v>683</v>
      </c>
      <c r="E35" s="1397"/>
      <c r="F35" s="1558"/>
      <c r="G35" s="1558"/>
      <c r="H35" s="1558"/>
      <c r="I35" s="1558"/>
      <c r="J35" s="1558"/>
      <c r="K35" s="1558"/>
      <c r="L35" s="1558"/>
      <c r="M35" s="1558"/>
      <c r="N35" s="1568"/>
      <c r="O35" s="1558"/>
      <c r="P35" s="1558"/>
      <c r="Q35" s="1558"/>
      <c r="R35" s="1558"/>
      <c r="S35" s="1558"/>
    </row>
    <row r="36" spans="4:98" s="32" customFormat="1" ht="15" customHeight="1" x14ac:dyDescent="0.35">
      <c r="D36" s="37"/>
      <c r="E36" s="37"/>
      <c r="F36" s="31"/>
      <c r="G36" s="31"/>
      <c r="H36" s="1569"/>
      <c r="I36" s="31"/>
      <c r="J36" s="31"/>
      <c r="K36" s="31"/>
      <c r="L36" s="31"/>
      <c r="M36" s="31"/>
      <c r="N36" s="31"/>
      <c r="O36" s="31"/>
      <c r="P36" s="31"/>
      <c r="Q36" s="82"/>
      <c r="R36" s="82"/>
      <c r="S36" s="31"/>
      <c r="T36" s="1298"/>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row>
    <row r="37" spans="4:98" s="32" customFormat="1" ht="15" customHeight="1" x14ac:dyDescent="0.35">
      <c r="D37" s="37"/>
      <c r="E37" s="37"/>
      <c r="F37" s="31"/>
      <c r="G37" s="31"/>
      <c r="H37" s="1569"/>
      <c r="I37" s="31"/>
      <c r="J37" s="31"/>
      <c r="K37" s="31"/>
      <c r="L37" s="31"/>
      <c r="M37" s="31"/>
      <c r="N37" s="31"/>
      <c r="O37" s="31"/>
      <c r="P37" s="31"/>
      <c r="Q37" s="82"/>
      <c r="R37" s="82"/>
      <c r="S37" s="31"/>
      <c r="T37" s="1298"/>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row>
    <row r="38" spans="4:98" s="32" customFormat="1" ht="15" customHeight="1" x14ac:dyDescent="0.35">
      <c r="D38" s="31"/>
      <c r="E38" s="31"/>
      <c r="F38" s="31"/>
      <c r="G38" s="31"/>
      <c r="H38" s="1569"/>
      <c r="I38" s="31"/>
      <c r="J38" s="31"/>
      <c r="K38" s="31"/>
      <c r="L38" s="31"/>
      <c r="M38" s="31"/>
      <c r="N38" s="31"/>
      <c r="O38" s="31"/>
      <c r="P38" s="31"/>
      <c r="Q38" s="82"/>
      <c r="R38" s="82"/>
      <c r="S38" s="31"/>
      <c r="T38" s="1298"/>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row>
    <row r="39" spans="4:98" s="32" customFormat="1" ht="15" customHeight="1" x14ac:dyDescent="0.35">
      <c r="D39" s="31"/>
      <c r="E39" s="31"/>
      <c r="F39" s="31"/>
      <c r="G39" s="31"/>
      <c r="H39" s="31"/>
      <c r="I39" s="31"/>
      <c r="Q39" s="82"/>
      <c r="R39" s="82"/>
      <c r="S39" s="31"/>
      <c r="T39" s="1298"/>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row>
    <row r="40" spans="4:98" s="32" customFormat="1" ht="15" customHeight="1" x14ac:dyDescent="0.35">
      <c r="D40" s="31"/>
      <c r="E40" s="31"/>
      <c r="F40" s="31"/>
      <c r="G40" s="31"/>
      <c r="H40" s="31"/>
      <c r="I40" s="31"/>
      <c r="Q40" s="82"/>
      <c r="R40" s="82"/>
      <c r="S40" s="31"/>
      <c r="T40" s="1298"/>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row>
    <row r="41" spans="4:98" s="32" customFormat="1" ht="15" customHeight="1" x14ac:dyDescent="0.35">
      <c r="D41" s="31"/>
      <c r="E41" s="31"/>
      <c r="F41" s="31"/>
      <c r="G41" s="31"/>
      <c r="H41" s="31"/>
      <c r="I41" s="31"/>
      <c r="Q41" s="82"/>
      <c r="R41" s="82"/>
      <c r="S41" s="31"/>
      <c r="T41" s="1298"/>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row>
    <row r="42" spans="4:98" s="32" customFormat="1" ht="15" customHeight="1" x14ac:dyDescent="0.35">
      <c r="D42" s="31"/>
      <c r="E42" s="31"/>
      <c r="F42" s="31"/>
      <c r="G42" s="31"/>
      <c r="H42" s="31"/>
      <c r="I42" s="31"/>
      <c r="Q42" s="82"/>
      <c r="R42" s="82"/>
      <c r="S42" s="31"/>
      <c r="T42" s="1298"/>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row>
    <row r="43" spans="4:98" s="32" customFormat="1" ht="15" customHeight="1" x14ac:dyDescent="0.35">
      <c r="D43" s="31"/>
      <c r="E43" s="31"/>
      <c r="F43" s="31"/>
      <c r="G43" s="31"/>
      <c r="H43" s="31"/>
      <c r="I43" s="31"/>
      <c r="Q43" s="82"/>
      <c r="R43" s="82"/>
      <c r="S43" s="31"/>
      <c r="T43" s="1298"/>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row>
    <row r="44" spans="4:98" s="32" customFormat="1" ht="15" customHeight="1" x14ac:dyDescent="0.35">
      <c r="D44" s="31"/>
      <c r="E44" s="31"/>
      <c r="F44" s="31"/>
      <c r="G44" s="31"/>
      <c r="H44" s="31"/>
      <c r="I44" s="31"/>
      <c r="Q44" s="82"/>
      <c r="R44" s="82"/>
      <c r="S44" s="31"/>
      <c r="T44" s="1298"/>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row>
    <row r="45" spans="4:98" s="32" customFormat="1" ht="15" customHeight="1" x14ac:dyDescent="0.35">
      <c r="D45" s="31"/>
      <c r="E45" s="31"/>
      <c r="F45" s="31"/>
      <c r="G45" s="31"/>
      <c r="H45" s="31"/>
      <c r="I45" s="31"/>
      <c r="Q45" s="82"/>
      <c r="R45" s="82"/>
      <c r="S45" s="31"/>
      <c r="T45" s="1298"/>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row>
    <row r="46" spans="4:98" s="32" customFormat="1" ht="15" customHeight="1" x14ac:dyDescent="0.35">
      <c r="D46" s="31"/>
      <c r="E46" s="31"/>
      <c r="F46" s="31"/>
      <c r="G46" s="31"/>
      <c r="H46" s="31"/>
      <c r="I46" s="31"/>
      <c r="Q46" s="82"/>
      <c r="R46" s="82"/>
      <c r="S46" s="31"/>
      <c r="T46" s="1298"/>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row>
    <row r="47" spans="4:98" s="32" customFormat="1" ht="15" customHeight="1" x14ac:dyDescent="0.35">
      <c r="D47" s="31"/>
      <c r="E47" s="31"/>
      <c r="F47" s="31"/>
      <c r="G47" s="31"/>
      <c r="H47" s="31"/>
      <c r="I47" s="31"/>
      <c r="Q47" s="82"/>
      <c r="R47" s="82"/>
      <c r="S47" s="31"/>
      <c r="T47" s="1298"/>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row>
    <row r="48" spans="4:98" s="32" customFormat="1" ht="15" customHeight="1" x14ac:dyDescent="0.35">
      <c r="D48" s="31"/>
      <c r="E48" s="31"/>
      <c r="F48" s="31"/>
      <c r="G48" s="31"/>
      <c r="H48" s="31"/>
      <c r="I48" s="31"/>
      <c r="Q48" s="82"/>
      <c r="R48" s="82"/>
      <c r="S48" s="31"/>
      <c r="T48" s="1298"/>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row>
    <row r="49" spans="4:98" s="32" customFormat="1" ht="15" customHeight="1" x14ac:dyDescent="0.35">
      <c r="D49" s="31"/>
      <c r="E49" s="31"/>
      <c r="F49" s="31"/>
      <c r="G49" s="31"/>
      <c r="H49" s="31"/>
      <c r="I49" s="31"/>
      <c r="Q49" s="82"/>
      <c r="R49" s="82"/>
      <c r="S49" s="31"/>
      <c r="T49" s="1298"/>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row>
    <row r="50" spans="4:98" s="32" customFormat="1" ht="15" customHeight="1" x14ac:dyDescent="0.35">
      <c r="D50" s="31"/>
      <c r="E50" s="31"/>
      <c r="F50" s="31"/>
      <c r="G50" s="31"/>
      <c r="H50" s="31"/>
      <c r="I50" s="31"/>
      <c r="Q50" s="82"/>
      <c r="R50" s="82"/>
      <c r="S50" s="31"/>
      <c r="T50" s="1298"/>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row>
    <row r="51" spans="4:98" s="32" customFormat="1" ht="15" customHeight="1" x14ac:dyDescent="0.35">
      <c r="D51" s="31"/>
      <c r="E51" s="31"/>
      <c r="F51" s="31"/>
      <c r="G51" s="31"/>
      <c r="H51" s="31"/>
      <c r="I51" s="31"/>
      <c r="Q51" s="82"/>
      <c r="R51" s="82"/>
      <c r="S51" s="31"/>
      <c r="T51" s="1298"/>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row>
    <row r="52" spans="4:98" s="32" customFormat="1" ht="15" customHeight="1" x14ac:dyDescent="0.35">
      <c r="D52" s="31"/>
      <c r="E52" s="31"/>
      <c r="F52" s="31"/>
      <c r="G52" s="31"/>
      <c r="H52" s="31"/>
      <c r="I52" s="31"/>
      <c r="Q52" s="82"/>
      <c r="R52" s="82"/>
      <c r="S52" s="31"/>
      <c r="T52" s="1298"/>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row>
    <row r="53" spans="4:98" s="32" customFormat="1" ht="15" customHeight="1" x14ac:dyDescent="0.35">
      <c r="D53" s="31"/>
      <c r="E53" s="31"/>
      <c r="F53" s="31"/>
      <c r="G53" s="31"/>
      <c r="H53" s="31"/>
      <c r="I53" s="31"/>
      <c r="Q53" s="82"/>
      <c r="R53" s="82"/>
      <c r="S53" s="31"/>
      <c r="T53" s="1298"/>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row>
    <row r="54" spans="4:98" s="32" customFormat="1" ht="15" customHeight="1" x14ac:dyDescent="0.35">
      <c r="D54" s="31"/>
      <c r="E54" s="31"/>
      <c r="F54" s="31"/>
      <c r="G54" s="31"/>
      <c r="H54" s="31"/>
      <c r="I54" s="31"/>
      <c r="Q54" s="82"/>
      <c r="R54" s="82"/>
      <c r="S54" s="31"/>
      <c r="T54" s="1298"/>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row>
    <row r="55" spans="4:98" s="32" customFormat="1" ht="15" customHeight="1" x14ac:dyDescent="0.35">
      <c r="D55" s="31"/>
      <c r="E55" s="31"/>
      <c r="F55" s="31"/>
      <c r="G55" s="31"/>
      <c r="H55" s="31"/>
      <c r="I55" s="31"/>
      <c r="Q55" s="82"/>
      <c r="R55" s="82"/>
      <c r="S55" s="31"/>
      <c r="T55" s="1298"/>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row>
    <row r="56" spans="4:98" s="32" customFormat="1" ht="15" customHeight="1" x14ac:dyDescent="0.35">
      <c r="D56" s="31"/>
      <c r="E56" s="31"/>
      <c r="F56" s="31"/>
      <c r="G56" s="31"/>
      <c r="H56" s="31"/>
      <c r="I56" s="31"/>
      <c r="Q56" s="82"/>
      <c r="R56" s="82"/>
      <c r="S56" s="31"/>
      <c r="T56" s="1298"/>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row>
    <row r="57" spans="4:98" s="32" customFormat="1" ht="15" customHeight="1" x14ac:dyDescent="0.35">
      <c r="D57" s="31"/>
      <c r="E57" s="31"/>
      <c r="F57" s="31"/>
      <c r="G57" s="31"/>
      <c r="H57" s="31"/>
      <c r="I57" s="31"/>
      <c r="Q57" s="82"/>
      <c r="R57" s="82"/>
      <c r="S57" s="31"/>
      <c r="T57" s="1298"/>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row>
    <row r="58" spans="4:98" s="32" customFormat="1" ht="15" customHeight="1" x14ac:dyDescent="0.35">
      <c r="D58" s="31"/>
      <c r="E58" s="31"/>
      <c r="F58" s="31"/>
      <c r="G58" s="31"/>
      <c r="H58" s="31"/>
      <c r="I58" s="31"/>
      <c r="Q58" s="82"/>
      <c r="R58" s="82"/>
      <c r="S58" s="31"/>
      <c r="T58" s="1298"/>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row>
    <row r="59" spans="4:98" s="32" customFormat="1" ht="15" customHeight="1" x14ac:dyDescent="0.35">
      <c r="D59" s="31"/>
      <c r="E59" s="31"/>
      <c r="F59" s="31"/>
      <c r="G59" s="31"/>
      <c r="H59" s="31"/>
      <c r="I59" s="31"/>
      <c r="Q59" s="82"/>
      <c r="R59" s="82"/>
      <c r="S59" s="31"/>
      <c r="T59" s="1298"/>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row>
    <row r="60" spans="4:98" s="32" customFormat="1" ht="15" customHeight="1" x14ac:dyDescent="0.35">
      <c r="D60" s="31"/>
      <c r="E60" s="31"/>
      <c r="F60" s="31"/>
      <c r="G60" s="31"/>
      <c r="H60" s="31"/>
      <c r="I60" s="31"/>
      <c r="Q60" s="82"/>
      <c r="R60" s="82"/>
      <c r="S60" s="31"/>
      <c r="T60" s="1298"/>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row>
    <row r="61" spans="4:98" s="32" customFormat="1" ht="15" customHeight="1" x14ac:dyDescent="0.35">
      <c r="D61" s="31"/>
      <c r="E61" s="31"/>
      <c r="F61" s="31"/>
      <c r="G61" s="31"/>
      <c r="H61" s="31"/>
      <c r="I61" s="31"/>
      <c r="Q61" s="82"/>
      <c r="R61" s="82"/>
      <c r="S61" s="31"/>
      <c r="T61" s="1298"/>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row>
    <row r="62" spans="4:98" s="32" customFormat="1" ht="15" customHeight="1" x14ac:dyDescent="0.35">
      <c r="D62" s="31"/>
      <c r="E62" s="31"/>
      <c r="F62" s="31"/>
      <c r="G62" s="31"/>
      <c r="H62" s="31"/>
      <c r="I62" s="31"/>
      <c r="Q62" s="82"/>
      <c r="R62" s="82"/>
      <c r="S62" s="31"/>
      <c r="T62" s="1298"/>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row>
    <row r="63" spans="4:98" s="32" customFormat="1" ht="15" customHeight="1" x14ac:dyDescent="0.35">
      <c r="D63" s="31"/>
      <c r="E63" s="31"/>
      <c r="F63" s="31"/>
      <c r="G63" s="31"/>
      <c r="H63" s="31"/>
      <c r="I63" s="31"/>
      <c r="Q63" s="82"/>
      <c r="R63" s="82"/>
      <c r="S63" s="31"/>
      <c r="T63" s="1298"/>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row>
    <row r="64" spans="4:98" s="32" customFormat="1" ht="15" customHeight="1" x14ac:dyDescent="0.35">
      <c r="D64" s="31"/>
      <c r="E64" s="31"/>
      <c r="F64" s="31"/>
      <c r="G64" s="31"/>
      <c r="H64" s="31"/>
      <c r="I64" s="31"/>
      <c r="Q64" s="82"/>
      <c r="R64" s="82"/>
      <c r="S64" s="31"/>
      <c r="T64" s="1298"/>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row>
    <row r="65" spans="4:98" s="32" customFormat="1" ht="15" customHeight="1" x14ac:dyDescent="0.35">
      <c r="D65" s="31"/>
      <c r="E65" s="31"/>
      <c r="F65" s="31"/>
      <c r="G65" s="31"/>
      <c r="H65" s="31"/>
      <c r="I65" s="31"/>
      <c r="Q65" s="82"/>
      <c r="R65" s="82"/>
      <c r="S65" s="31"/>
      <c r="T65" s="1298"/>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row>
    <row r="66" spans="4:98" s="32" customFormat="1" ht="15" customHeight="1" x14ac:dyDescent="0.35">
      <c r="D66" s="31"/>
      <c r="E66" s="31"/>
      <c r="F66" s="31"/>
      <c r="G66" s="31"/>
      <c r="H66" s="31"/>
      <c r="I66" s="31"/>
      <c r="Q66" s="82"/>
      <c r="R66" s="82"/>
      <c r="S66" s="31"/>
      <c r="T66" s="1298"/>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row>
    <row r="67" spans="4:98" s="32" customFormat="1" ht="15" customHeight="1" x14ac:dyDescent="0.35">
      <c r="D67" s="31"/>
      <c r="E67" s="31"/>
      <c r="F67" s="31"/>
      <c r="G67" s="31"/>
      <c r="H67" s="31"/>
      <c r="I67" s="31"/>
      <c r="Q67" s="82"/>
      <c r="R67" s="82"/>
      <c r="S67" s="31"/>
      <c r="T67" s="1298"/>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row>
    <row r="68" spans="4:98" s="32" customFormat="1" ht="15" customHeight="1" x14ac:dyDescent="0.35">
      <c r="D68" s="31"/>
      <c r="E68" s="31"/>
      <c r="F68" s="31"/>
      <c r="G68" s="31"/>
      <c r="H68" s="31"/>
      <c r="I68" s="31"/>
      <c r="Q68" s="82"/>
      <c r="R68" s="82"/>
      <c r="S68" s="31"/>
      <c r="T68" s="1298"/>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row>
    <row r="69" spans="4:98" s="32" customFormat="1" ht="15" customHeight="1" x14ac:dyDescent="0.35">
      <c r="D69" s="31"/>
      <c r="E69" s="31"/>
      <c r="F69" s="31"/>
      <c r="G69" s="31"/>
      <c r="H69" s="31"/>
      <c r="I69" s="31"/>
      <c r="Q69" s="82"/>
      <c r="R69" s="82"/>
      <c r="S69" s="31"/>
      <c r="T69" s="1298"/>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row>
    <row r="70" spans="4:98" s="32" customFormat="1" ht="15" customHeight="1" x14ac:dyDescent="0.35">
      <c r="D70" s="31"/>
      <c r="E70" s="31"/>
      <c r="F70" s="31"/>
      <c r="G70" s="31"/>
      <c r="H70" s="31"/>
      <c r="I70" s="31"/>
      <c r="Q70" s="82"/>
      <c r="R70" s="82"/>
      <c r="S70" s="31"/>
      <c r="T70" s="1298"/>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row>
    <row r="71" spans="4:98" s="32" customFormat="1" ht="15" customHeight="1" x14ac:dyDescent="0.35">
      <c r="D71" s="31"/>
      <c r="E71" s="31"/>
      <c r="F71" s="31"/>
      <c r="G71" s="31"/>
      <c r="H71" s="31"/>
      <c r="I71" s="31"/>
      <c r="Q71" s="82"/>
      <c r="R71" s="82"/>
      <c r="S71" s="31"/>
      <c r="T71" s="1298"/>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row>
    <row r="72" spans="4:98" s="32" customFormat="1" ht="15" customHeight="1" x14ac:dyDescent="0.35">
      <c r="D72" s="31"/>
      <c r="E72" s="31"/>
      <c r="F72" s="31"/>
      <c r="G72" s="31"/>
      <c r="H72" s="31"/>
      <c r="I72" s="31"/>
      <c r="Q72" s="82"/>
      <c r="R72" s="82"/>
      <c r="S72" s="31"/>
      <c r="T72" s="1298"/>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row>
    <row r="73" spans="4:98" s="32" customFormat="1" ht="15" customHeight="1" x14ac:dyDescent="0.35">
      <c r="D73" s="31"/>
      <c r="E73" s="31"/>
      <c r="F73" s="31"/>
      <c r="G73" s="31"/>
      <c r="H73" s="31"/>
      <c r="I73" s="31"/>
      <c r="Q73" s="82"/>
      <c r="R73" s="82"/>
      <c r="S73" s="31"/>
      <c r="T73" s="1298"/>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row>
    <row r="74" spans="4:98" s="32" customFormat="1" ht="15" customHeight="1" x14ac:dyDescent="0.35">
      <c r="D74" s="31"/>
      <c r="E74" s="31"/>
      <c r="F74" s="31"/>
      <c r="G74" s="31"/>
      <c r="H74" s="31"/>
      <c r="I74" s="31"/>
      <c r="Q74" s="82"/>
      <c r="R74" s="82"/>
      <c r="S74" s="31"/>
      <c r="T74" s="1298"/>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row>
    <row r="75" spans="4:98" s="32" customFormat="1" ht="15" customHeight="1" x14ac:dyDescent="0.35">
      <c r="D75" s="31"/>
      <c r="E75" s="31"/>
      <c r="F75" s="31"/>
      <c r="G75" s="31"/>
      <c r="H75" s="31"/>
      <c r="I75" s="31"/>
      <c r="Q75" s="82"/>
      <c r="R75" s="82"/>
      <c r="S75" s="31"/>
      <c r="T75" s="1298"/>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row>
    <row r="76" spans="4:98" s="32" customFormat="1" ht="15" customHeight="1" x14ac:dyDescent="0.35">
      <c r="D76" s="31"/>
      <c r="E76" s="31"/>
      <c r="F76" s="31"/>
      <c r="G76" s="31"/>
      <c r="H76" s="31"/>
      <c r="I76" s="31"/>
      <c r="Q76" s="82"/>
      <c r="R76" s="82"/>
      <c r="S76" s="31"/>
      <c r="T76" s="1298"/>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row>
    <row r="77" spans="4:98" s="32" customFormat="1" ht="15" customHeight="1" x14ac:dyDescent="0.35">
      <c r="D77" s="31"/>
      <c r="E77" s="31"/>
      <c r="F77" s="31"/>
      <c r="G77" s="31"/>
      <c r="H77" s="31"/>
      <c r="I77" s="31"/>
      <c r="Q77" s="82"/>
      <c r="R77" s="82"/>
      <c r="S77" s="31"/>
      <c r="T77" s="1298"/>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row>
    <row r="78" spans="4:98" s="32" customFormat="1" ht="15" customHeight="1" x14ac:dyDescent="0.35">
      <c r="D78" s="31"/>
      <c r="E78" s="31"/>
      <c r="F78" s="31"/>
      <c r="G78" s="31"/>
      <c r="H78" s="31"/>
      <c r="I78" s="31"/>
      <c r="Q78" s="82"/>
      <c r="R78" s="82"/>
      <c r="S78" s="31"/>
      <c r="T78" s="1298"/>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4:98" s="32" customFormat="1" ht="15" customHeight="1" x14ac:dyDescent="0.35">
      <c r="D79" s="31"/>
      <c r="E79" s="31"/>
      <c r="F79" s="31"/>
      <c r="G79" s="31"/>
      <c r="H79" s="31"/>
      <c r="I79" s="31"/>
      <c r="Q79" s="82"/>
      <c r="R79" s="82"/>
      <c r="S79" s="31"/>
      <c r="T79" s="1298"/>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4:98" s="32" customFormat="1" ht="15" customHeight="1" x14ac:dyDescent="0.35">
      <c r="D80" s="31"/>
      <c r="E80" s="31"/>
      <c r="F80" s="31"/>
      <c r="G80" s="31"/>
      <c r="H80" s="31"/>
      <c r="I80" s="31"/>
      <c r="Q80" s="82"/>
      <c r="R80" s="82"/>
      <c r="S80" s="31"/>
      <c r="T80" s="1298"/>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row>
    <row r="81" spans="4:98" s="32" customFormat="1" ht="15" customHeight="1" x14ac:dyDescent="0.35">
      <c r="D81" s="31"/>
      <c r="E81" s="31"/>
      <c r="F81" s="31"/>
      <c r="G81" s="31"/>
      <c r="H81" s="31"/>
      <c r="I81" s="31"/>
      <c r="Q81" s="82"/>
      <c r="R81" s="82"/>
      <c r="S81" s="31"/>
      <c r="T81" s="1298"/>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row>
    <row r="82" spans="4:98" s="32" customFormat="1" ht="15" customHeight="1" x14ac:dyDescent="0.35">
      <c r="D82" s="31"/>
      <c r="E82" s="31"/>
      <c r="F82" s="31"/>
      <c r="G82" s="31"/>
      <c r="H82" s="31"/>
      <c r="I82" s="31"/>
      <c r="Q82" s="82"/>
      <c r="R82" s="82"/>
      <c r="S82" s="31"/>
      <c r="T82" s="1298"/>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row>
    <row r="83" spans="4:98" s="32" customFormat="1" ht="15" customHeight="1" x14ac:dyDescent="0.35">
      <c r="D83" s="31"/>
      <c r="E83" s="31"/>
      <c r="F83" s="31"/>
      <c r="G83" s="31"/>
      <c r="H83" s="31"/>
      <c r="I83" s="31"/>
      <c r="Q83" s="82"/>
      <c r="R83" s="82"/>
      <c r="S83" s="31"/>
      <c r="T83" s="1298"/>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row>
    <row r="84" spans="4:98" s="32" customFormat="1" ht="15" customHeight="1" x14ac:dyDescent="0.35">
      <c r="D84" s="31"/>
      <c r="E84" s="31"/>
      <c r="F84" s="31"/>
      <c r="G84" s="31"/>
      <c r="H84" s="31"/>
      <c r="I84" s="31"/>
      <c r="Q84" s="82"/>
      <c r="R84" s="82"/>
      <c r="S84" s="31"/>
      <c r="T84" s="1298"/>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row>
    <row r="85" spans="4:98" s="32" customFormat="1" ht="15" customHeight="1" x14ac:dyDescent="0.35">
      <c r="D85" s="31"/>
      <c r="E85" s="31"/>
      <c r="F85" s="31"/>
      <c r="G85" s="31"/>
      <c r="H85" s="31"/>
      <c r="I85" s="31"/>
      <c r="Q85" s="82"/>
      <c r="R85" s="82"/>
      <c r="S85" s="31"/>
      <c r="T85" s="1298"/>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row>
    <row r="86" spans="4:98" s="32" customFormat="1" ht="15" customHeight="1" x14ac:dyDescent="0.35">
      <c r="D86" s="31"/>
      <c r="E86" s="31"/>
      <c r="F86" s="31"/>
      <c r="G86" s="31"/>
      <c r="H86" s="31"/>
      <c r="I86" s="31"/>
      <c r="Q86" s="82"/>
      <c r="R86" s="82"/>
      <c r="S86" s="31"/>
      <c r="T86" s="1298"/>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row>
  </sheetData>
  <mergeCells count="3">
    <mergeCell ref="T10:T11"/>
    <mergeCell ref="F7:J7"/>
    <mergeCell ref="L7:P7"/>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32 N29"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0BF8-831F-499E-A18C-D90D312F9CE4}">
  <sheetPr>
    <tabColor theme="1"/>
    <pageSetUpPr autoPageBreaks="0"/>
  </sheetPr>
  <dimension ref="A1"/>
  <sheetViews>
    <sheetView topLeftCell="A1048576" workbookViewId="0">
      <selection sqref="A1:XFD1"/>
    </sheetView>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D22-F0A8-463B-9CEC-C420CE60EDF5}">
  <sheetPr>
    <pageSetUpPr autoPageBreaks="0"/>
  </sheetPr>
  <dimension ref="A1:T25"/>
  <sheetViews>
    <sheetView showGridLines="0" zoomScale="70" zoomScaleNormal="70" workbookViewId="0"/>
  </sheetViews>
  <sheetFormatPr defaultColWidth="8.7265625" defaultRowHeight="15" customHeight="1" x14ac:dyDescent="0.35"/>
  <cols>
    <col min="1" max="3" width="13.54296875" style="5" customWidth="1"/>
    <col min="4" max="4" width="4.453125" style="5" customWidth="1"/>
    <col min="5" max="5" width="13.26953125" style="5" customWidth="1"/>
    <col min="6" max="6" width="12.81640625" style="5" customWidth="1"/>
    <col min="7" max="7" width="1" style="5" customWidth="1"/>
    <col min="8" max="10" width="6.26953125" style="5" bestFit="1" customWidth="1"/>
    <col min="11" max="11" width="1" style="5" customWidth="1"/>
    <col min="12" max="12" width="9.81640625" style="5" bestFit="1" customWidth="1"/>
    <col min="13" max="13" width="1" style="5" customWidth="1"/>
    <col min="14" max="14" width="5.1796875" style="5" bestFit="1" customWidth="1"/>
    <col min="15" max="15" width="1" style="5" customWidth="1"/>
    <col min="16" max="18" width="6.26953125" style="5" bestFit="1" customWidth="1"/>
    <col min="19" max="19" width="1" style="5" customWidth="1"/>
    <col min="20" max="20" width="16.54296875" style="5" bestFit="1" customWidth="1"/>
    <col min="21" max="16384" width="8.7265625" style="5"/>
  </cols>
  <sheetData>
    <row r="1" spans="1:20" ht="15" customHeight="1" x14ac:dyDescent="0.35">
      <c r="A1" s="1324" t="s">
        <v>275</v>
      </c>
      <c r="E1" s="5">
        <v>65</v>
      </c>
      <c r="F1" s="5">
        <f>MAX($E$1:E1)+1</f>
        <v>66</v>
      </c>
      <c r="J1" s="5">
        <f>MAX($E$1:I1)+1</f>
        <v>67</v>
      </c>
      <c r="L1" s="5">
        <f>MAX($E$1:K1)+1</f>
        <v>68</v>
      </c>
      <c r="N1" s="5">
        <f>MAX($E$1:M1)+1</f>
        <v>69</v>
      </c>
      <c r="R1" s="5">
        <f>MAX($E$1:Q1)+1</f>
        <v>70</v>
      </c>
      <c r="T1" s="5">
        <f>MAX($E$1:S1)+1</f>
        <v>71</v>
      </c>
    </row>
    <row r="2" spans="1:20" ht="15" customHeight="1" x14ac:dyDescent="0.35">
      <c r="A2" s="1324"/>
    </row>
    <row r="3" spans="1:20" ht="15" customHeight="1" x14ac:dyDescent="0.35">
      <c r="D3" s="1559" t="str">
        <f>LEFT(D4,FIND(":",D4)-1)</f>
        <v>Table T12</v>
      </c>
    </row>
    <row r="4" spans="1:20" ht="15" customHeight="1" x14ac:dyDescent="0.35">
      <c r="D4" s="1656" t="str">
        <f>ToC!$J$21</f>
        <v>Table T12: Reservation Price Analysis Results</v>
      </c>
      <c r="E4" s="1833"/>
      <c r="F4" s="1833"/>
      <c r="G4" s="1833"/>
    </row>
    <row r="5" spans="1:20" ht="6" customHeight="1" thickBot="1" x14ac:dyDescent="0.4">
      <c r="D5" s="1373"/>
      <c r="E5" s="1373"/>
      <c r="F5" s="1373"/>
      <c r="G5" s="1373"/>
      <c r="H5" s="1373"/>
      <c r="I5" s="1373"/>
      <c r="J5" s="1373"/>
      <c r="K5" s="1373"/>
      <c r="L5" s="1373"/>
      <c r="M5" s="1373"/>
      <c r="N5" s="1373"/>
      <c r="O5" s="1373"/>
      <c r="P5" s="1373"/>
      <c r="Q5" s="1373"/>
      <c r="R5" s="1373"/>
      <c r="S5" s="1373"/>
      <c r="T5" s="1373"/>
    </row>
    <row r="6" spans="1:20" ht="6" customHeight="1" thickTop="1" x14ac:dyDescent="0.35">
      <c r="D6" s="1193"/>
      <c r="E6" s="1193"/>
      <c r="F6" s="1193"/>
      <c r="G6" s="1193"/>
      <c r="H6" s="1193"/>
      <c r="I6" s="1193"/>
      <c r="J6" s="1193"/>
      <c r="K6" s="1193"/>
      <c r="L6" s="1193"/>
      <c r="M6" s="1193"/>
      <c r="N6" s="1193"/>
      <c r="O6" s="1193"/>
      <c r="P6" s="1193"/>
      <c r="Q6" s="1193"/>
      <c r="R6" s="1193"/>
      <c r="S6" s="1193"/>
      <c r="T6" s="1193"/>
    </row>
    <row r="7" spans="1:20" ht="29" x14ac:dyDescent="0.35">
      <c r="D7" s="2043"/>
      <c r="E7" s="2043" t="s">
        <v>635</v>
      </c>
      <c r="F7" s="2043" t="s">
        <v>644</v>
      </c>
      <c r="G7" s="2043"/>
      <c r="H7" s="2195" t="s">
        <v>634</v>
      </c>
      <c r="I7" s="2195"/>
      <c r="J7" s="2195"/>
      <c r="K7" s="2043"/>
      <c r="L7" s="2043" t="s">
        <v>645</v>
      </c>
      <c r="M7" s="2043"/>
      <c r="N7" s="2043" t="s">
        <v>483</v>
      </c>
      <c r="O7" s="2043"/>
      <c r="P7" s="2195" t="s">
        <v>636</v>
      </c>
      <c r="Q7" s="2195"/>
      <c r="R7" s="2195"/>
      <c r="S7" s="2043"/>
      <c r="T7" s="2043" t="s">
        <v>633</v>
      </c>
    </row>
    <row r="8" spans="1:20" ht="15" customHeight="1" x14ac:dyDescent="0.35">
      <c r="D8" s="2043"/>
      <c r="E8" s="2043" t="s">
        <v>631</v>
      </c>
      <c r="F8" s="2043" t="s">
        <v>631</v>
      </c>
      <c r="G8" s="2043"/>
      <c r="H8" s="2195" t="s">
        <v>631</v>
      </c>
      <c r="I8" s="2195"/>
      <c r="J8" s="2195"/>
      <c r="K8" s="2043"/>
      <c r="L8" s="2043" t="s">
        <v>631</v>
      </c>
      <c r="M8" s="2043"/>
      <c r="N8" s="2043"/>
      <c r="O8" s="2043"/>
      <c r="P8" s="2195" t="s">
        <v>632</v>
      </c>
      <c r="Q8" s="2195"/>
      <c r="R8" s="2195"/>
      <c r="S8" s="2043"/>
      <c r="T8" s="2043" t="s">
        <v>632</v>
      </c>
    </row>
    <row r="9" spans="1:20" ht="6" customHeight="1" x14ac:dyDescent="0.35">
      <c r="D9" s="2044"/>
      <c r="E9" s="2044"/>
      <c r="F9" s="2044"/>
      <c r="G9" s="2044"/>
      <c r="H9" s="2044"/>
      <c r="I9" s="2044"/>
      <c r="J9" s="2044"/>
      <c r="K9" s="2044"/>
      <c r="L9" s="2044"/>
      <c r="M9" s="2044"/>
      <c r="N9" s="2044"/>
      <c r="O9" s="2044"/>
      <c r="P9" s="2044"/>
      <c r="Q9" s="2044"/>
      <c r="R9" s="2044"/>
      <c r="S9" s="2044"/>
      <c r="T9" s="2044"/>
    </row>
    <row r="10" spans="1:20" ht="15" customHeight="1" x14ac:dyDescent="0.35">
      <c r="B10" s="23"/>
      <c r="C10" s="23"/>
      <c r="D10" s="23"/>
      <c r="E10" s="2035" t="str">
        <f>"["&amp;CHAR(E1)&amp;"]"</f>
        <v>[A]</v>
      </c>
      <c r="F10" s="2035" t="str">
        <f>"["&amp;CHAR(F1)&amp;"]"</f>
        <v>[B]</v>
      </c>
      <c r="G10" s="2035"/>
      <c r="H10" s="2035"/>
      <c r="I10" s="2035" t="str">
        <f>"["&amp;CHAR(J1)&amp;"]"</f>
        <v>[C]</v>
      </c>
      <c r="J10" s="17"/>
      <c r="K10" s="2035"/>
      <c r="L10" s="2035" t="str">
        <f>"["&amp;CHAR(L1)&amp;"]"</f>
        <v>[D]</v>
      </c>
      <c r="M10" s="2035"/>
      <c r="N10" s="2035" t="str">
        <f>"["&amp;CHAR(N1)&amp;"]"</f>
        <v>[E]</v>
      </c>
      <c r="O10" s="2035"/>
      <c r="P10" s="2035"/>
      <c r="Q10" s="2035" t="str">
        <f>"["&amp;CHAR(R1)&amp;"]"</f>
        <v>[F]</v>
      </c>
      <c r="S10" s="2035"/>
      <c r="T10" s="2035" t="str">
        <f>"["&amp;CHAR(T1)&amp;"]"</f>
        <v>[G]</v>
      </c>
    </row>
    <row r="11" spans="1:20" ht="15" customHeight="1" x14ac:dyDescent="0.35">
      <c r="D11" s="309"/>
      <c r="E11" s="2035" t="s">
        <v>485</v>
      </c>
      <c r="F11" s="2035" t="s">
        <v>485</v>
      </c>
      <c r="G11" s="2042"/>
      <c r="H11" s="2196" t="s">
        <v>485</v>
      </c>
      <c r="I11" s="2196"/>
      <c r="J11" s="2196"/>
      <c r="K11" s="2042"/>
      <c r="L11" s="2035" t="s">
        <v>485</v>
      </c>
      <c r="M11" s="2042"/>
      <c r="N11" s="2042" t="s">
        <v>10</v>
      </c>
      <c r="O11" s="2042"/>
      <c r="P11" s="2196" t="s">
        <v>485</v>
      </c>
      <c r="Q11" s="2196"/>
      <c r="R11" s="2196"/>
      <c r="S11" s="2042"/>
      <c r="T11" s="2035" t="s">
        <v>485</v>
      </c>
    </row>
    <row r="12" spans="1:20" ht="6" customHeight="1" x14ac:dyDescent="0.35">
      <c r="D12" s="1612"/>
      <c r="E12" s="2034"/>
      <c r="F12" s="2034"/>
      <c r="G12" s="2036"/>
      <c r="H12" s="2034"/>
      <c r="I12" s="2034"/>
      <c r="J12" s="2034"/>
      <c r="K12" s="2029"/>
      <c r="L12" s="2034"/>
      <c r="M12" s="2034"/>
      <c r="N12" s="2034"/>
      <c r="O12" s="2029"/>
      <c r="P12" s="2034"/>
      <c r="Q12" s="2034"/>
      <c r="R12" s="2034"/>
      <c r="S12" s="2029"/>
      <c r="T12" s="2034"/>
    </row>
    <row r="13" spans="1:20" ht="6" customHeight="1" x14ac:dyDescent="0.35">
      <c r="D13" s="1193"/>
      <c r="E13" s="2029"/>
      <c r="F13" s="2029"/>
      <c r="G13" s="2036"/>
      <c r="H13" s="2029"/>
      <c r="I13" s="2029"/>
      <c r="J13" s="2029"/>
      <c r="K13" s="2029"/>
      <c r="L13" s="2029"/>
      <c r="M13" s="2029"/>
      <c r="N13" s="2029"/>
      <c r="O13" s="2029"/>
      <c r="P13" s="2029"/>
      <c r="Q13" s="2029"/>
      <c r="R13" s="2029"/>
      <c r="S13" s="2029"/>
      <c r="T13" s="2029"/>
    </row>
    <row r="14" spans="1:20" ht="15" customHeight="1" x14ac:dyDescent="0.35">
      <c r="D14" s="309"/>
      <c r="E14" s="2030"/>
      <c r="F14" s="2030"/>
      <c r="G14" s="2037"/>
      <c r="H14" s="322" t="s">
        <v>628</v>
      </c>
      <c r="I14" s="322" t="s">
        <v>629</v>
      </c>
      <c r="J14" s="322" t="s">
        <v>630</v>
      </c>
      <c r="K14" s="2041"/>
      <c r="L14" s="322"/>
      <c r="M14" s="2041"/>
      <c r="N14" s="322"/>
      <c r="O14" s="2041"/>
      <c r="P14" s="322" t="s">
        <v>628</v>
      </c>
      <c r="Q14" s="322" t="s">
        <v>629</v>
      </c>
      <c r="R14" s="322" t="s">
        <v>630</v>
      </c>
      <c r="S14" s="2031"/>
      <c r="T14" s="12"/>
    </row>
    <row r="15" spans="1:20" ht="6" customHeight="1" x14ac:dyDescent="0.35">
      <c r="D15" s="1612"/>
      <c r="E15" s="2034"/>
      <c r="F15" s="2034"/>
      <c r="G15" s="2036"/>
      <c r="H15" s="2034"/>
      <c r="I15" s="2034"/>
      <c r="J15" s="2034"/>
      <c r="K15" s="2029"/>
      <c r="L15" s="2034"/>
      <c r="M15" s="2034"/>
      <c r="N15" s="2034"/>
      <c r="O15" s="2029"/>
      <c r="P15" s="2034"/>
      <c r="Q15" s="2034"/>
      <c r="R15" s="2034"/>
      <c r="S15" s="2029"/>
      <c r="T15" s="2034"/>
    </row>
    <row r="16" spans="1:20" ht="6" customHeight="1" x14ac:dyDescent="0.35">
      <c r="D16" s="1193"/>
      <c r="E16" s="2029"/>
      <c r="F16" s="2029"/>
      <c r="G16" s="2029"/>
      <c r="H16" s="2029"/>
      <c r="I16" s="2029"/>
      <c r="J16" s="2029"/>
      <c r="K16" s="2029"/>
      <c r="L16" s="2029"/>
      <c r="M16" s="2029"/>
      <c r="N16" s="2029"/>
      <c r="O16" s="2029"/>
      <c r="P16" s="2029"/>
      <c r="Q16" s="2029"/>
      <c r="R16" s="2029"/>
      <c r="S16" s="2029"/>
      <c r="T16" s="2029"/>
    </row>
    <row r="17" spans="4:20" ht="15" customHeight="1" x14ac:dyDescent="0.35">
      <c r="D17" s="26" t="s">
        <v>281</v>
      </c>
      <c r="E17" s="2038">
        <f>'Net CONE-RTO Benchmarks'!I14</f>
        <v>662.73730889256592</v>
      </c>
      <c r="F17" s="2038">
        <f>'Net CONE-RTO Benchmarks'!$I$19</f>
        <v>457.44250739120639</v>
      </c>
      <c r="G17" s="2038"/>
      <c r="H17" s="2032">
        <v>2436.2038861320925</v>
      </c>
      <c r="I17" s="2032">
        <v>1177.8254708225954</v>
      </c>
      <c r="J17" s="2032">
        <v>928.21930793123238</v>
      </c>
      <c r="K17" s="2038"/>
      <c r="L17" s="2038">
        <f>'Net CONE-RTO Benchmarks'!$J$14</f>
        <v>240.63666666666666</v>
      </c>
      <c r="M17" s="2038"/>
      <c r="N17" s="2039">
        <f>'Net CONE-RTO Benchmarks'!$L$14</f>
        <v>0.79</v>
      </c>
      <c r="O17" s="2038"/>
      <c r="P17" s="2033">
        <f>(H17-$L$17)/$N$17</f>
        <v>2779.1990119815514</v>
      </c>
      <c r="Q17" s="2033">
        <f>(I17-$L$17)/$N$17</f>
        <v>1186.3149419695301</v>
      </c>
      <c r="R17" s="2033">
        <f>(J17-$L$17)/$N$17</f>
        <v>870.35777375261478</v>
      </c>
      <c r="S17" s="2040"/>
      <c r="T17" s="2040">
        <f>(E17-L17)/N17</f>
        <v>534.30461041253068</v>
      </c>
    </row>
    <row r="18" spans="4:20" ht="15" customHeight="1" x14ac:dyDescent="0.35">
      <c r="D18" s="26" t="s">
        <v>283</v>
      </c>
      <c r="E18" s="2038">
        <f>'Net CONE-RTO Benchmarks'!I15</f>
        <v>813.39944372685454</v>
      </c>
      <c r="F18" s="2038">
        <f>'Net CONE-RTO Benchmarks'!$I$20</f>
        <v>654.90529296810405</v>
      </c>
      <c r="G18" s="2038"/>
      <c r="H18" s="2032">
        <v>2182.5681997781894</v>
      </c>
      <c r="I18" s="2032">
        <v>1211.0604100864898</v>
      </c>
      <c r="J18" s="2032">
        <v>1018.3600357734825</v>
      </c>
      <c r="K18" s="2038"/>
      <c r="L18" s="2038">
        <f>'Net CONE-RTO Benchmarks'!$J$15</f>
        <v>505.54666666666662</v>
      </c>
      <c r="M18" s="2038"/>
      <c r="N18" s="2039">
        <f>'Net CONE-RTO Benchmarks'!$L$15</f>
        <v>0.81</v>
      </c>
      <c r="O18" s="2038"/>
      <c r="P18" s="2033">
        <f>(H18-$L$18)/$N$18</f>
        <v>2070.3969544586698</v>
      </c>
      <c r="Q18" s="2033">
        <f>(I18-$L$18)/$N$18</f>
        <v>871.00462150595445</v>
      </c>
      <c r="R18" s="2033">
        <f>(J18-$L$18)/$N$18</f>
        <v>633.1029248232295</v>
      </c>
      <c r="S18" s="2040"/>
      <c r="T18" s="2040">
        <f>(E18-L18)/N18</f>
        <v>380.06515686442953</v>
      </c>
    </row>
    <row r="19" spans="4:20" ht="15" customHeight="1" x14ac:dyDescent="0.35">
      <c r="D19" s="26" t="s">
        <v>282</v>
      </c>
      <c r="E19" s="2038">
        <f>'Net CONE-RTO Benchmarks'!I16</f>
        <v>652.46303729159945</v>
      </c>
      <c r="F19" s="2038">
        <f>(350*$N$19)+L19</f>
        <v>471.06500000000005</v>
      </c>
      <c r="G19" s="2038"/>
      <c r="H19" s="2032">
        <v>2219.495762807453</v>
      </c>
      <c r="I19" s="2032">
        <v>1107.589971894366</v>
      </c>
      <c r="J19" s="2032">
        <v>887.04235048975011</v>
      </c>
      <c r="K19" s="2038"/>
      <c r="L19" s="2038">
        <f>'Net CONE-RTO Benchmarks'!$J$16</f>
        <v>243.56500000000003</v>
      </c>
      <c r="M19" s="2038"/>
      <c r="N19" s="2039">
        <f>'Net CONE-RTO Benchmarks'!$L$16</f>
        <v>0.65</v>
      </c>
      <c r="O19" s="2038"/>
      <c r="P19" s="2033">
        <f>(H19-$L$19)/$N$19</f>
        <v>3039.8934812422353</v>
      </c>
      <c r="Q19" s="2033">
        <f>(I19-$L$19)/$N$19</f>
        <v>1329.2691875297937</v>
      </c>
      <c r="R19" s="2033">
        <f>(J19-$L$19)/$N$19</f>
        <v>989.9651545996154</v>
      </c>
      <c r="S19" s="2040"/>
      <c r="T19" s="2040">
        <f>(E19-L19)/N19</f>
        <v>629.0739035255375</v>
      </c>
    </row>
    <row r="20" spans="4:20" ht="6" customHeight="1" thickBot="1" x14ac:dyDescent="0.4">
      <c r="D20" s="20"/>
      <c r="E20" s="20"/>
      <c r="F20" s="20"/>
      <c r="G20" s="20"/>
      <c r="H20" s="20"/>
      <c r="I20" s="20"/>
      <c r="J20" s="20"/>
      <c r="K20" s="20"/>
      <c r="L20" s="20"/>
      <c r="M20" s="20"/>
      <c r="N20" s="20"/>
      <c r="O20" s="20"/>
      <c r="P20" s="20"/>
      <c r="Q20" s="20"/>
      <c r="R20" s="20"/>
      <c r="S20" s="20"/>
      <c r="T20" s="20"/>
    </row>
    <row r="21" spans="4:20" ht="6" customHeight="1" thickTop="1" x14ac:dyDescent="0.35"/>
    <row r="22" spans="4:20" ht="15" customHeight="1" x14ac:dyDescent="0.35">
      <c r="D22" s="2197" t="s">
        <v>684</v>
      </c>
      <c r="E22" s="2198"/>
      <c r="F22" s="2198"/>
      <c r="G22" s="2198"/>
      <c r="H22" s="2198"/>
      <c r="I22" s="2198"/>
      <c r="J22" s="2198"/>
      <c r="K22" s="2198"/>
      <c r="L22" s="2198"/>
      <c r="M22" s="2198"/>
      <c r="N22" s="2198"/>
      <c r="O22" s="2198"/>
      <c r="P22" s="2198"/>
      <c r="Q22" s="2198"/>
      <c r="R22" s="2198"/>
      <c r="S22" s="2198"/>
      <c r="T22" s="2198"/>
    </row>
    <row r="23" spans="4:20" ht="15" customHeight="1" x14ac:dyDescent="0.35">
      <c r="D23" s="1397"/>
    </row>
    <row r="24" spans="4:20" ht="15" customHeight="1" x14ac:dyDescent="0.35">
      <c r="D24" s="26"/>
    </row>
    <row r="25" spans="4:20" ht="15" customHeight="1" x14ac:dyDescent="0.35">
      <c r="D25" s="26"/>
    </row>
  </sheetData>
  <mergeCells count="7">
    <mergeCell ref="H7:J7"/>
    <mergeCell ref="P7:R7"/>
    <mergeCell ref="H11:J11"/>
    <mergeCell ref="P11:R11"/>
    <mergeCell ref="D22:T22"/>
    <mergeCell ref="H8:J8"/>
    <mergeCell ref="P8:R8"/>
  </mergeCells>
  <printOptions horizontalCentered="1"/>
  <pageMargins left="0.7" right="0.7" top="0.75" bottom="0.75" header="0.3" footer="0.3"/>
  <pageSetup orientation="landscape" horizontalDpi="1200" verticalDpi="1200"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DC60-685A-4BA6-8F6A-9652A9DCFA3A}">
  <sheetPr>
    <pageSetUpPr autoPageBreaks="0"/>
  </sheetPr>
  <dimension ref="A1:AV172"/>
  <sheetViews>
    <sheetView showGridLines="0" zoomScale="70" zoomScaleNormal="70" workbookViewId="0"/>
  </sheetViews>
  <sheetFormatPr defaultColWidth="8.7265625" defaultRowHeight="15" customHeight="1" outlineLevelRow="1" outlineLevelCol="1" x14ac:dyDescent="0.35"/>
  <cols>
    <col min="1" max="3" width="13.54296875" style="5" customWidth="1"/>
    <col min="4" max="4" width="54.54296875" style="5" customWidth="1"/>
    <col min="5" max="5" width="15.453125" style="5" bestFit="1" customWidth="1"/>
    <col min="6" max="6" width="11.81640625" style="5" customWidth="1"/>
    <col min="7" max="7" width="15.1796875" style="5" bestFit="1" customWidth="1"/>
    <col min="8" max="8" width="15.81640625" style="5" bestFit="1" customWidth="1"/>
    <col min="9" max="9" width="14.26953125" style="26" customWidth="1"/>
    <col min="10" max="43" width="13.1796875" style="5" customWidth="1"/>
    <col min="44" max="45" width="8.7265625" style="5"/>
    <col min="46" max="46" width="33.81640625" style="36" hidden="1" customWidth="1" outlineLevel="1"/>
    <col min="47" max="47" width="26.54296875" style="36" hidden="1" customWidth="1" outlineLevel="1"/>
    <col min="48" max="48" width="8.7265625" style="5" collapsed="1"/>
    <col min="49" max="16384" width="8.7265625" style="5"/>
  </cols>
  <sheetData>
    <row r="1" spans="1:47" ht="15" customHeight="1" x14ac:dyDescent="0.35">
      <c r="A1" s="81" t="s">
        <v>275</v>
      </c>
      <c r="F1" s="17"/>
    </row>
    <row r="2" spans="1:47" ht="15" customHeight="1" x14ac:dyDescent="0.35">
      <c r="F2" s="17"/>
    </row>
    <row r="3" spans="1:47" ht="15" customHeight="1" x14ac:dyDescent="0.35">
      <c r="D3" s="9" t="str">
        <f>LEFT($D4, FIND(":",$D4)-1)</f>
        <v>Table T13</v>
      </c>
      <c r="F3" s="17"/>
    </row>
    <row r="4" spans="1:47" ht="15" customHeight="1" x14ac:dyDescent="0.35">
      <c r="D4" s="2" t="str">
        <f>ToC!$J$22</f>
        <v>Table T13: Cash Flows for Reservation Price Analysis</v>
      </c>
      <c r="F4" s="17"/>
    </row>
    <row r="5" spans="1:47" ht="6" customHeight="1" thickBot="1" x14ac:dyDescent="0.4">
      <c r="D5" s="20"/>
      <c r="E5" s="20"/>
      <c r="F5" s="24"/>
      <c r="G5" s="20"/>
      <c r="H5" s="20"/>
      <c r="I5" s="44"/>
      <c r="J5" s="20"/>
      <c r="K5" s="20"/>
      <c r="L5" s="20"/>
      <c r="M5" s="20"/>
      <c r="N5" s="20"/>
      <c r="O5" s="20"/>
      <c r="P5" s="20"/>
      <c r="Q5" s="20"/>
      <c r="R5" s="20"/>
      <c r="S5" s="20"/>
      <c r="T5" s="20"/>
      <c r="U5" s="20"/>
      <c r="V5" s="20"/>
      <c r="W5" s="20"/>
      <c r="X5" s="20"/>
      <c r="Y5" s="20"/>
      <c r="Z5" s="20"/>
      <c r="AA5" s="20"/>
      <c r="AB5" s="20"/>
      <c r="AC5" s="20"/>
      <c r="AD5" s="20"/>
      <c r="AE5" s="20"/>
      <c r="AF5" s="20"/>
      <c r="AG5" s="20"/>
      <c r="AH5" s="203"/>
      <c r="AI5" s="203"/>
      <c r="AJ5" s="203"/>
      <c r="AK5" s="203"/>
      <c r="AL5" s="203"/>
      <c r="AM5" s="203"/>
      <c r="AN5" s="203"/>
      <c r="AO5" s="203"/>
      <c r="AP5" s="203"/>
      <c r="AQ5" s="203"/>
    </row>
    <row r="6" spans="1:47" ht="6" customHeight="1" thickTop="1" x14ac:dyDescent="0.35">
      <c r="F6" s="17"/>
    </row>
    <row r="7" spans="1:47" s="152" customFormat="1" ht="15" customHeight="1" x14ac:dyDescent="0.35">
      <c r="D7" s="1824" t="s">
        <v>215</v>
      </c>
      <c r="F7" s="213"/>
      <c r="I7" s="313"/>
      <c r="AT7" s="214"/>
      <c r="AU7" s="214"/>
    </row>
    <row r="8" spans="1:47" s="152" customFormat="1" ht="15" customHeight="1" x14ac:dyDescent="0.35">
      <c r="A8" s="313">
        <f>MAX($A$7:A7)+1</f>
        <v>1</v>
      </c>
      <c r="D8" s="215" t="str">
        <f>Control!$D$19</f>
        <v>Online Date</v>
      </c>
      <c r="F8" s="213" t="str">
        <f>"["&amp;A8&amp;"]"</f>
        <v>[1]</v>
      </c>
      <c r="G8" s="230" t="str">
        <f>Control!$D$3</f>
        <v>Control Table</v>
      </c>
      <c r="I8" s="150">
        <f>INDEX(Control!$H$10:$H$62, MATCH($D8, Control!$D$10:$D$62, 0))</f>
        <v>46905</v>
      </c>
      <c r="AT8" s="214"/>
      <c r="AU8" s="214"/>
    </row>
    <row r="9" spans="1:47" s="152" customFormat="1" ht="6" customHeight="1" x14ac:dyDescent="0.35">
      <c r="D9" s="313"/>
      <c r="F9" s="213"/>
      <c r="G9" s="313"/>
      <c r="I9" s="313"/>
      <c r="AT9" s="214"/>
      <c r="AU9" s="214"/>
    </row>
    <row r="10" spans="1:47" s="152" customFormat="1" ht="15" customHeight="1" x14ac:dyDescent="0.35">
      <c r="D10" s="1824" t="s">
        <v>208</v>
      </c>
      <c r="F10" s="213"/>
      <c r="G10" s="313"/>
      <c r="I10" s="313"/>
      <c r="AT10" s="217" t="s">
        <v>174</v>
      </c>
      <c r="AU10" s="217" t="s">
        <v>175</v>
      </c>
    </row>
    <row r="11" spans="1:47" s="152" customFormat="1" ht="15" customHeight="1" x14ac:dyDescent="0.35">
      <c r="A11" s="313">
        <f>MAX($A$7:A10)+1</f>
        <v>2</v>
      </c>
      <c r="D11" s="215" t="str">
        <f>Control!$D$10</f>
        <v>Technology</v>
      </c>
      <c r="F11" s="213" t="str">
        <f>"["&amp;A11&amp;"]"</f>
        <v>[2]</v>
      </c>
      <c r="G11" s="230" t="str">
        <f>Control!$D$3</f>
        <v>Control Table</v>
      </c>
      <c r="H11" s="157"/>
      <c r="I11" s="150" t="str">
        <f>INDEX(Control!$H$10:$H$62, MATCH($D11, Control!$D$10:$D$62, 0))</f>
        <v>CC</v>
      </c>
      <c r="AT11" s="214"/>
      <c r="AU11" s="214"/>
    </row>
    <row r="12" spans="1:47" s="152" customFormat="1" ht="15" customHeight="1" x14ac:dyDescent="0.35">
      <c r="A12" s="313">
        <f>MAX($A$7:A11)+1</f>
        <v>3</v>
      </c>
      <c r="D12" s="215" t="s">
        <v>287</v>
      </c>
      <c r="F12" s="213" t="str">
        <f>"["&amp;A12&amp;"]"</f>
        <v>[3]</v>
      </c>
      <c r="G12" s="230" t="str">
        <f>Control!$D$3</f>
        <v>Control Table</v>
      </c>
      <c r="H12" s="157"/>
      <c r="I12" s="305" t="str">
        <f>INDEX(Control!$H$10:$H$62, MATCH($D12, Control!$D$10:$D$62, 0))</f>
        <v>Rest of RTO</v>
      </c>
      <c r="AT12" s="214"/>
      <c r="AU12" s="214"/>
    </row>
    <row r="13" spans="1:47" s="152" customFormat="1" ht="15" customHeight="1" x14ac:dyDescent="0.35">
      <c r="A13" s="313">
        <f>MAX($A$7:A12)+1</f>
        <v>4</v>
      </c>
      <c r="D13" s="215" t="str">
        <f>Control!$D$42</f>
        <v>Net Summer Capacity</v>
      </c>
      <c r="E13" s="152" t="s">
        <v>4</v>
      </c>
      <c r="F13" s="213" t="str">
        <f>"["&amp;A13&amp;"]"</f>
        <v>[4]</v>
      </c>
      <c r="G13" s="230" t="str">
        <f>Control!$D$3</f>
        <v>Control Table</v>
      </c>
      <c r="H13" s="157"/>
      <c r="I13" s="218">
        <f>INDEX(Control!$H$10:$H$62, MATCH($D13, Control!$D$10:$D$62, 0))</f>
        <v>1276.144</v>
      </c>
      <c r="AT13" s="219"/>
      <c r="AU13" s="214"/>
    </row>
    <row r="14" spans="1:47" s="152" customFormat="1" ht="15" customHeight="1" x14ac:dyDescent="0.35">
      <c r="A14" s="313">
        <f>MAX($A$7:A13)+1</f>
        <v>5</v>
      </c>
      <c r="D14" s="215" t="s">
        <v>8</v>
      </c>
      <c r="E14" s="152" t="s">
        <v>118</v>
      </c>
      <c r="F14" s="213" t="str">
        <f>"["&amp;A14&amp;"]"</f>
        <v>[5]</v>
      </c>
      <c r="G14" s="230" t="str">
        <f>Control!$D$3</f>
        <v>Control Table</v>
      </c>
      <c r="I14" s="218">
        <f>INDEX(Control!$H$10:$H$62, MATCH($D14, Control!$D$10:$D$62, 0))</f>
        <v>20</v>
      </c>
      <c r="AT14" s="214"/>
      <c r="AU14" s="214"/>
    </row>
    <row r="15" spans="1:47" s="152" customFormat="1" ht="6" customHeight="1" x14ac:dyDescent="0.35">
      <c r="A15" s="313"/>
      <c r="D15" s="215"/>
      <c r="F15" s="213"/>
      <c r="G15" s="313"/>
      <c r="H15" s="156"/>
      <c r="I15" s="153"/>
      <c r="AT15" s="214"/>
      <c r="AU15" s="214"/>
    </row>
    <row r="16" spans="1:47" s="152" customFormat="1" ht="15" customHeight="1" x14ac:dyDescent="0.35">
      <c r="A16" s="313">
        <f>MAX($A$7:A14)+1</f>
        <v>6</v>
      </c>
      <c r="D16" s="215" t="s">
        <v>3</v>
      </c>
      <c r="E16" s="157" t="s">
        <v>259</v>
      </c>
      <c r="F16" s="213" t="str">
        <f t="shared" ref="F16:F31" si="0">"["&amp;A16&amp;"]"</f>
        <v>[6]</v>
      </c>
      <c r="G16" s="313" t="str">
        <f>'Construction Costs'!$D$3</f>
        <v>Table A2</v>
      </c>
      <c r="H16" s="156"/>
      <c r="I16" s="153">
        <f>INDEX('Construction Costs'!$I$8:$I$44, MATCH($D16, 'Construction Costs'!$D$8:$D$44, 0))</f>
        <v>1811348085.1208441</v>
      </c>
      <c r="J16" s="582"/>
      <c r="AT16" s="214"/>
      <c r="AU16" s="214"/>
    </row>
    <row r="17" spans="1:47" s="152" customFormat="1" ht="15" customHeight="1" x14ac:dyDescent="0.35">
      <c r="A17" s="313">
        <f>MAX($A$7:A16)+1</f>
        <v>7</v>
      </c>
      <c r="D17" s="215" t="str">
        <f>'Construction Costs'!$D$43</f>
        <v>Installed Cost</v>
      </c>
      <c r="E17" s="157" t="s">
        <v>259</v>
      </c>
      <c r="F17" s="213" t="str">
        <f t="shared" si="0"/>
        <v>[7]</v>
      </c>
      <c r="G17" s="313" t="str">
        <f>'Construction Costs'!$D$3</f>
        <v>Table A2</v>
      </c>
      <c r="H17" s="156"/>
      <c r="I17" s="153">
        <f>INDEX('Construction Costs'!$I$8:$I$44, MATCH($D17, 'Construction Costs'!$D$8:$D$44, 0))</f>
        <v>2304255091.2588</v>
      </c>
      <c r="AT17" s="214"/>
      <c r="AU17" s="214"/>
    </row>
    <row r="18" spans="1:47" s="152" customFormat="1" ht="15" customHeight="1" x14ac:dyDescent="0.35">
      <c r="A18" s="313">
        <f>MAX($A$7:A17)+1</f>
        <v>8</v>
      </c>
      <c r="D18" s="215" t="s">
        <v>6</v>
      </c>
      <c r="E18" s="157" t="s">
        <v>259</v>
      </c>
      <c r="F18" s="213" t="str">
        <f t="shared" si="0"/>
        <v>[8]</v>
      </c>
      <c r="G18" s="313" t="str">
        <f>'Construction Costs'!$D$3</f>
        <v>Table A2</v>
      </c>
      <c r="H18" s="156"/>
      <c r="I18" s="153">
        <f>INDEX('Construction Costs'!$I$8:$I$44, MATCH($D18, 'Construction Costs'!$D$8:$D$44, 0))</f>
        <v>1961371349.6694851</v>
      </c>
      <c r="AT18" s="214"/>
      <c r="AU18" s="214"/>
    </row>
    <row r="19" spans="1:47" s="152" customFormat="1" ht="6" customHeight="1" x14ac:dyDescent="0.35">
      <c r="A19" s="313"/>
      <c r="D19" s="215"/>
      <c r="F19" s="213"/>
      <c r="G19" s="230"/>
      <c r="H19" s="156"/>
      <c r="I19" s="153"/>
      <c r="AT19" s="214"/>
      <c r="AU19" s="214"/>
    </row>
    <row r="20" spans="1:47" s="152" customFormat="1" ht="15" customHeight="1" x14ac:dyDescent="0.35">
      <c r="A20" s="313">
        <f>MAX($A$7:A18)+1</f>
        <v>9</v>
      </c>
      <c r="D20" s="216" t="s">
        <v>248</v>
      </c>
      <c r="E20" s="157" t="s">
        <v>260</v>
      </c>
      <c r="F20" s="213" t="str">
        <f>"["&amp;A20&amp;"]"</f>
        <v>[9]</v>
      </c>
      <c r="G20" s="230" t="s">
        <v>39</v>
      </c>
      <c r="H20" s="156"/>
      <c r="I20" s="153">
        <f>IFERROR(I16/($I$13*1000),0)</f>
        <v>1419.3916087219343</v>
      </c>
      <c r="J20" s="158"/>
      <c r="K20" s="313"/>
      <c r="AT20" s="214"/>
      <c r="AU20" s="214"/>
    </row>
    <row r="21" spans="1:47" s="152" customFormat="1" ht="15" customHeight="1" x14ac:dyDescent="0.35">
      <c r="A21" s="313">
        <f>MAX($A$7:A20)+1</f>
        <v>10</v>
      </c>
      <c r="D21" s="215" t="s">
        <v>60</v>
      </c>
      <c r="E21" s="157" t="s">
        <v>260</v>
      </c>
      <c r="F21" s="213" t="str">
        <f>"["&amp;A21&amp;"]"</f>
        <v>[10]</v>
      </c>
      <c r="G21" s="230" t="s">
        <v>39</v>
      </c>
      <c r="H21" s="156"/>
      <c r="I21" s="153">
        <f>IFERROR(I17/($I$13*1000),0)</f>
        <v>1805.6387768612319</v>
      </c>
      <c r="AT21" s="214"/>
      <c r="AU21" s="214"/>
    </row>
    <row r="22" spans="1:47" s="152" customFormat="1" ht="15" customHeight="1" x14ac:dyDescent="0.35">
      <c r="A22" s="313">
        <f>MAX($A$7:A21)+1</f>
        <v>11</v>
      </c>
      <c r="D22" s="215" t="s">
        <v>261</v>
      </c>
      <c r="E22" s="157" t="s">
        <v>260</v>
      </c>
      <c r="F22" s="213" t="str">
        <f>"["&amp;A22&amp;"]"</f>
        <v>[11]</v>
      </c>
      <c r="G22" s="230" t="s">
        <v>39</v>
      </c>
      <c r="H22" s="156"/>
      <c r="I22" s="153">
        <f>IFERROR(I18/($I$13*1000),0)</f>
        <v>1536.9514331215639</v>
      </c>
      <c r="AT22" s="214"/>
      <c r="AU22" s="214"/>
    </row>
    <row r="23" spans="1:47" s="152" customFormat="1" ht="6" customHeight="1" x14ac:dyDescent="0.35">
      <c r="A23" s="313"/>
      <c r="D23" s="215"/>
      <c r="F23" s="213"/>
      <c r="G23" s="230"/>
      <c r="H23" s="156"/>
      <c r="I23" s="153"/>
      <c r="AT23" s="214"/>
      <c r="AU23" s="214"/>
    </row>
    <row r="24" spans="1:47" s="152" customFormat="1" ht="15" customHeight="1" x14ac:dyDescent="0.35">
      <c r="A24" s="313"/>
      <c r="D24" s="1824" t="s">
        <v>249</v>
      </c>
      <c r="F24" s="213"/>
      <c r="G24" s="313"/>
      <c r="H24" s="156"/>
      <c r="I24" s="153"/>
      <c r="AT24" s="214"/>
      <c r="AU24" s="214"/>
    </row>
    <row r="25" spans="1:47" s="152" customFormat="1" ht="15" customHeight="1" x14ac:dyDescent="0.35">
      <c r="A25" s="313">
        <f>MAX($A$7:A23)+1</f>
        <v>12</v>
      </c>
      <c r="D25" s="215" t="str">
        <f>Control!$O$46</f>
        <v>Revenue Escalation Rate</v>
      </c>
      <c r="E25" s="152" t="str">
        <f>Control!$E$60</f>
        <v>%</v>
      </c>
      <c r="F25" s="213" t="str">
        <f t="shared" si="0"/>
        <v>[12]</v>
      </c>
      <c r="G25" s="313" t="str">
        <f>Control!$D$3</f>
        <v>Control Table</v>
      </c>
      <c r="H25" s="156"/>
      <c r="I25" s="154">
        <f>INDEX(Control!$H$10:$H$62, MATCH($D25, Control!$O$10:$O$62, 0))</f>
        <v>0</v>
      </c>
      <c r="AT25" s="214"/>
      <c r="AU25" s="214"/>
    </row>
    <row r="26" spans="1:47" s="152" customFormat="1" ht="15" customHeight="1" x14ac:dyDescent="0.35">
      <c r="A26" s="313">
        <f>MAX($A$7:A25)+1</f>
        <v>13</v>
      </c>
      <c r="D26" s="215" t="str">
        <f>Control!$D$60</f>
        <v>ATWACC Nominal</v>
      </c>
      <c r="E26" s="152" t="str">
        <f>Control!$E$60</f>
        <v>%</v>
      </c>
      <c r="F26" s="213" t="str">
        <f t="shared" si="0"/>
        <v>[13]</v>
      </c>
      <c r="G26" s="313" t="str">
        <f>Control!$D$3</f>
        <v>Control Table</v>
      </c>
      <c r="I26" s="154">
        <f>INDEX(Control!$H$10:$H$62, MATCH($D26, Control!$D$10:$D$62, 0))</f>
        <v>9.5187440099999993E-2</v>
      </c>
      <c r="AT26" s="214"/>
      <c r="AU26" s="214"/>
    </row>
    <row r="27" spans="1:47" s="152" customFormat="1" ht="15" customHeight="1" x14ac:dyDescent="0.35">
      <c r="A27" s="313">
        <f>MAX($A$7:A26)+1</f>
        <v>14</v>
      </c>
      <c r="D27" s="215" t="str">
        <f>Control!D59</f>
        <v>Total Income Tax Rate</v>
      </c>
      <c r="E27" s="152" t="str">
        <f>"%"</f>
        <v>%</v>
      </c>
      <c r="F27" s="213" t="str">
        <f t="shared" si="0"/>
        <v>[14]</v>
      </c>
      <c r="G27" s="313" t="str">
        <f>Control!$D$3</f>
        <v>Control Table</v>
      </c>
      <c r="I27" s="154">
        <f>INDEX(Control!$H$10:$H$62, MATCH($D27, Control!$D$10:$D$62, 0))</f>
        <v>0.273121</v>
      </c>
      <c r="AT27" s="214"/>
      <c r="AU27" s="214"/>
    </row>
    <row r="28" spans="1:47" s="152" customFormat="1" ht="15" customHeight="1" x14ac:dyDescent="0.35">
      <c r="A28" s="313">
        <f>MAX($A$7:A27)+1</f>
        <v>15</v>
      </c>
      <c r="D28" s="215" t="str">
        <f>Control!$D$51</f>
        <v>Tax Depreciation Schedule</v>
      </c>
      <c r="F28" s="213" t="str">
        <f t="shared" si="0"/>
        <v>[15]</v>
      </c>
      <c r="G28" s="230" t="str">
        <f>Control!$D$3</f>
        <v>Control Table</v>
      </c>
      <c r="I28" s="220" t="str">
        <f>INDEX(Control!$H$10:$H$62, MATCH($D28, Control!$D$10:$D$62, 0))</f>
        <v>20-Year MACRS</v>
      </c>
      <c r="AT28" s="214"/>
      <c r="AU28" s="214"/>
    </row>
    <row r="29" spans="1:47" s="152" customFormat="1" ht="15" customHeight="1" x14ac:dyDescent="0.35">
      <c r="A29" s="313">
        <f>MAX($A$7:A28)+1</f>
        <v>16</v>
      </c>
      <c r="D29" s="215" t="str">
        <f>Control!$D$25</f>
        <v>Bonus Depreciaton</v>
      </c>
      <c r="E29" s="152" t="str">
        <f>"%"</f>
        <v>%</v>
      </c>
      <c r="F29" s="213" t="str">
        <f t="shared" si="0"/>
        <v>[16]</v>
      </c>
      <c r="G29" s="230" t="str">
        <f>Control!$D$3</f>
        <v>Control Table</v>
      </c>
      <c r="I29" s="154">
        <f>INDEX(Control!$H$10:$H$62, MATCH($D29, Control!$D$10:$D$62, 0))</f>
        <v>0</v>
      </c>
      <c r="AT29" s="214"/>
      <c r="AU29" s="214"/>
    </row>
    <row r="30" spans="1:47" s="152" customFormat="1" ht="15" customHeight="1" x14ac:dyDescent="0.35">
      <c r="A30" s="313">
        <f>MAX($A$7:A29)+1</f>
        <v>17</v>
      </c>
      <c r="D30" s="215" t="str">
        <f>Control!$D$27</f>
        <v>Investment Tax Credit</v>
      </c>
      <c r="E30" s="152" t="str">
        <f>"%"</f>
        <v>%</v>
      </c>
      <c r="F30" s="213" t="str">
        <f t="shared" si="0"/>
        <v>[17]</v>
      </c>
      <c r="G30" s="230" t="str">
        <f>Control!$D$3</f>
        <v>Control Table</v>
      </c>
      <c r="I30" s="154">
        <f>INDEX(Control!$H$10:$H$62, MATCH($D30, Control!$D$10:$D$62, 0))</f>
        <v>0.3</v>
      </c>
      <c r="AT30" s="214"/>
      <c r="AU30" s="214"/>
    </row>
    <row r="31" spans="1:47" s="152" customFormat="1" ht="15" customHeight="1" x14ac:dyDescent="0.35">
      <c r="A31" s="313">
        <f>MAX($A$7:A30)+1</f>
        <v>18</v>
      </c>
      <c r="D31" s="215" t="str">
        <f>Control!$D$28</f>
        <v>Impact of Investment Tax Credit on Depreciable Basis</v>
      </c>
      <c r="E31" s="152" t="str">
        <f>"%"</f>
        <v>%</v>
      </c>
      <c r="F31" s="213" t="str">
        <f t="shared" si="0"/>
        <v>[18]</v>
      </c>
      <c r="G31" s="230" t="str">
        <f>Control!$D$3</f>
        <v>Control Table</v>
      </c>
      <c r="I31" s="154">
        <f>INDEX(Control!$H$10:$H$62, MATCH($D31, Control!$D$10:$D$62, 0))</f>
        <v>0.5</v>
      </c>
      <c r="AT31" s="214"/>
      <c r="AU31" s="214"/>
    </row>
    <row r="32" spans="1:47" s="152" customFormat="1" ht="6" customHeight="1" x14ac:dyDescent="0.35">
      <c r="D32" s="313"/>
      <c r="F32" s="213"/>
      <c r="G32" s="313"/>
      <c r="I32" s="154"/>
      <c r="AT32" s="214"/>
      <c r="AU32" s="214"/>
    </row>
    <row r="33" spans="1:47" s="152" customFormat="1" ht="15" customHeight="1" x14ac:dyDescent="0.35">
      <c r="D33" s="1824" t="s">
        <v>258</v>
      </c>
      <c r="E33" s="313"/>
      <c r="F33" s="213"/>
      <c r="G33" s="230"/>
      <c r="I33" s="154"/>
      <c r="AT33" s="214"/>
      <c r="AU33" s="214"/>
    </row>
    <row r="34" spans="1:47" s="152" customFormat="1" ht="15" customHeight="1" x14ac:dyDescent="0.35">
      <c r="A34" s="313">
        <f>MAX($A$7:A33)+1</f>
        <v>19</v>
      </c>
      <c r="D34" s="216" t="s">
        <v>255</v>
      </c>
      <c r="E34" s="313" t="s">
        <v>259</v>
      </c>
      <c r="F34" s="312" t="str">
        <f>"["&amp;A34&amp;"]"</f>
        <v>[19]</v>
      </c>
      <c r="G34" s="230" t="s">
        <v>39</v>
      </c>
      <c r="H34" s="313"/>
      <c r="I34" s="1021">
        <f>IF($I$11=Control!$K$10, INDEX('BESS Capital Costs'!$R$47:$V$47,MATCH($I$12,'BESS Capital Costs'!$R$31:$V$31,0)), 0)</f>
        <v>0</v>
      </c>
      <c r="K34" s="229"/>
      <c r="AT34" s="214"/>
      <c r="AU34" s="214"/>
    </row>
    <row r="35" spans="1:47" s="152" customFormat="1" ht="15" customHeight="1" x14ac:dyDescent="0.35">
      <c r="A35" s="313">
        <f>MAX($A$7:A34)+1</f>
        <v>20</v>
      </c>
      <c r="D35" s="216" t="s">
        <v>256</v>
      </c>
      <c r="E35" s="313" t="s">
        <v>259</v>
      </c>
      <c r="F35" s="312" t="str">
        <f>"["&amp;A35&amp;"]"</f>
        <v>[20]</v>
      </c>
      <c r="G35" s="230" t="s">
        <v>39</v>
      </c>
      <c r="H35" s="313"/>
      <c r="I35" s="1021">
        <f>IF($I$11=Control!$K$10, $I$30*$I$34, 0)</f>
        <v>0</v>
      </c>
      <c r="AT35" s="214"/>
      <c r="AU35" s="214"/>
    </row>
    <row r="36" spans="1:47" s="152" customFormat="1" ht="15" customHeight="1" x14ac:dyDescent="0.35">
      <c r="A36" s="313">
        <f>MAX($A$7:A35)+1</f>
        <v>21</v>
      </c>
      <c r="D36" s="216" t="s">
        <v>253</v>
      </c>
      <c r="E36" s="313" t="s">
        <v>259</v>
      </c>
      <c r="F36" s="312" t="str">
        <f>"["&amp;A36&amp;"]"</f>
        <v>[21]</v>
      </c>
      <c r="G36" s="230" t="s">
        <v>39</v>
      </c>
      <c r="H36" s="313"/>
      <c r="I36" s="1021">
        <f>IF($I$11=Control!$K$10, $I$31*$I$35, 0)</f>
        <v>0</v>
      </c>
      <c r="J36" s="156"/>
      <c r="AT36" s="214"/>
      <c r="AU36" s="214"/>
    </row>
    <row r="37" spans="1:47" s="152" customFormat="1" ht="6" customHeight="1" x14ac:dyDescent="0.35">
      <c r="D37" s="159"/>
      <c r="E37" s="155"/>
      <c r="F37" s="221"/>
      <c r="G37" s="159"/>
      <c r="H37" s="155"/>
      <c r="I37" s="159"/>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204"/>
      <c r="AI37" s="204"/>
      <c r="AJ37" s="204"/>
      <c r="AK37" s="204"/>
      <c r="AL37" s="204"/>
      <c r="AM37" s="204"/>
      <c r="AN37" s="204"/>
      <c r="AO37" s="204"/>
      <c r="AP37" s="204"/>
      <c r="AQ37" s="204"/>
      <c r="AT37" s="214"/>
      <c r="AU37" s="214"/>
    </row>
    <row r="38" spans="1:47" s="152" customFormat="1" ht="6" customHeight="1" x14ac:dyDescent="0.35">
      <c r="D38" s="313"/>
      <c r="F38" s="213"/>
      <c r="G38" s="313"/>
      <c r="I38" s="313"/>
      <c r="AT38" s="214"/>
      <c r="AU38" s="214"/>
    </row>
    <row r="39" spans="1:47" s="152" customFormat="1" ht="15" customHeight="1" x14ac:dyDescent="0.35">
      <c r="D39" s="1824" t="s">
        <v>61</v>
      </c>
      <c r="E39" s="213"/>
      <c r="F39" s="213"/>
      <c r="G39" s="313"/>
      <c r="I39" s="313"/>
      <c r="AT39" s="214"/>
      <c r="AU39" s="214"/>
    </row>
    <row r="40" spans="1:47" s="152" customFormat="1" ht="15" customHeight="1" x14ac:dyDescent="0.35">
      <c r="A40" s="313">
        <f>MAX($A$7:A39)+1</f>
        <v>22</v>
      </c>
      <c r="D40" s="215" t="s">
        <v>27</v>
      </c>
      <c r="F40" s="213" t="str">
        <f t="shared" ref="F40:F45" si="1">"["&amp;A40&amp;"]"</f>
        <v>[22]</v>
      </c>
      <c r="G40" s="313"/>
      <c r="I40" s="313">
        <f t="shared" ref="I40:AG40" si="2">IF(H40=0,YEAR($I$8),H$40+1)</f>
        <v>2028</v>
      </c>
      <c r="J40" s="313">
        <f t="shared" si="2"/>
        <v>2029</v>
      </c>
      <c r="K40" s="313">
        <f t="shared" si="2"/>
        <v>2030</v>
      </c>
      <c r="L40" s="313">
        <f t="shared" si="2"/>
        <v>2031</v>
      </c>
      <c r="M40" s="313">
        <f t="shared" si="2"/>
        <v>2032</v>
      </c>
      <c r="N40" s="313">
        <f t="shared" si="2"/>
        <v>2033</v>
      </c>
      <c r="O40" s="313">
        <f t="shared" si="2"/>
        <v>2034</v>
      </c>
      <c r="P40" s="313">
        <f t="shared" si="2"/>
        <v>2035</v>
      </c>
      <c r="Q40" s="313">
        <f t="shared" si="2"/>
        <v>2036</v>
      </c>
      <c r="R40" s="313">
        <f t="shared" si="2"/>
        <v>2037</v>
      </c>
      <c r="S40" s="313">
        <f t="shared" si="2"/>
        <v>2038</v>
      </c>
      <c r="T40" s="313">
        <f t="shared" si="2"/>
        <v>2039</v>
      </c>
      <c r="U40" s="313">
        <f t="shared" si="2"/>
        <v>2040</v>
      </c>
      <c r="V40" s="313">
        <f t="shared" si="2"/>
        <v>2041</v>
      </c>
      <c r="W40" s="313">
        <f t="shared" si="2"/>
        <v>2042</v>
      </c>
      <c r="X40" s="313">
        <f t="shared" si="2"/>
        <v>2043</v>
      </c>
      <c r="Y40" s="313">
        <f t="shared" si="2"/>
        <v>2044</v>
      </c>
      <c r="Z40" s="313">
        <f t="shared" si="2"/>
        <v>2045</v>
      </c>
      <c r="AA40" s="313">
        <f t="shared" si="2"/>
        <v>2046</v>
      </c>
      <c r="AB40" s="313">
        <f t="shared" si="2"/>
        <v>2047</v>
      </c>
      <c r="AC40" s="313">
        <f t="shared" si="2"/>
        <v>2048</v>
      </c>
      <c r="AD40" s="313">
        <f t="shared" si="2"/>
        <v>2049</v>
      </c>
      <c r="AE40" s="313">
        <f t="shared" si="2"/>
        <v>2050</v>
      </c>
      <c r="AF40" s="313">
        <f t="shared" si="2"/>
        <v>2051</v>
      </c>
      <c r="AG40" s="313">
        <f t="shared" si="2"/>
        <v>2052</v>
      </c>
      <c r="AT40" s="214"/>
      <c r="AU40" s="214"/>
    </row>
    <row r="41" spans="1:47" s="152" customFormat="1" ht="15" customHeight="1" x14ac:dyDescent="0.35">
      <c r="A41" s="313">
        <f>MAX($A$7:A40)+1</f>
        <v>23</v>
      </c>
      <c r="D41" s="215" t="s">
        <v>240</v>
      </c>
      <c r="F41" s="213" t="str">
        <f t="shared" si="1"/>
        <v>[23]</v>
      </c>
      <c r="G41" s="313" t="str">
        <f>$F$40&amp;" - "&amp;(YEAR($I$8)-1)</f>
        <v>[22] - 2027</v>
      </c>
      <c r="I41" s="713">
        <f t="shared" ref="I41:AG41" si="3">I$40-(YEAR($I$8)-1)</f>
        <v>1</v>
      </c>
      <c r="J41" s="713">
        <f t="shared" si="3"/>
        <v>2</v>
      </c>
      <c r="K41" s="713">
        <f t="shared" si="3"/>
        <v>3</v>
      </c>
      <c r="L41" s="713">
        <f t="shared" si="3"/>
        <v>4</v>
      </c>
      <c r="M41" s="713">
        <f t="shared" si="3"/>
        <v>5</v>
      </c>
      <c r="N41" s="713">
        <f t="shared" si="3"/>
        <v>6</v>
      </c>
      <c r="O41" s="713">
        <f t="shared" si="3"/>
        <v>7</v>
      </c>
      <c r="P41" s="713">
        <f t="shared" si="3"/>
        <v>8</v>
      </c>
      <c r="Q41" s="713">
        <f t="shared" si="3"/>
        <v>9</v>
      </c>
      <c r="R41" s="713">
        <f t="shared" si="3"/>
        <v>10</v>
      </c>
      <c r="S41" s="713">
        <f t="shared" si="3"/>
        <v>11</v>
      </c>
      <c r="T41" s="713">
        <f t="shared" si="3"/>
        <v>12</v>
      </c>
      <c r="U41" s="713">
        <f t="shared" si="3"/>
        <v>13</v>
      </c>
      <c r="V41" s="713">
        <f t="shared" si="3"/>
        <v>14</v>
      </c>
      <c r="W41" s="713">
        <f t="shared" si="3"/>
        <v>15</v>
      </c>
      <c r="X41" s="713">
        <f t="shared" si="3"/>
        <v>16</v>
      </c>
      <c r="Y41" s="713">
        <f t="shared" si="3"/>
        <v>17</v>
      </c>
      <c r="Z41" s="713">
        <f t="shared" si="3"/>
        <v>18</v>
      </c>
      <c r="AA41" s="713">
        <f t="shared" si="3"/>
        <v>19</v>
      </c>
      <c r="AB41" s="713">
        <f t="shared" si="3"/>
        <v>20</v>
      </c>
      <c r="AC41" s="713">
        <f t="shared" si="3"/>
        <v>21</v>
      </c>
      <c r="AD41" s="713">
        <f t="shared" si="3"/>
        <v>22</v>
      </c>
      <c r="AE41" s="713">
        <f t="shared" si="3"/>
        <v>23</v>
      </c>
      <c r="AF41" s="713">
        <f t="shared" si="3"/>
        <v>24</v>
      </c>
      <c r="AG41" s="713">
        <f t="shared" si="3"/>
        <v>25</v>
      </c>
      <c r="AH41" s="313"/>
      <c r="AI41" s="313"/>
      <c r="AJ41" s="313"/>
      <c r="AK41" s="313"/>
      <c r="AL41" s="313"/>
      <c r="AM41" s="313"/>
      <c r="AN41" s="313"/>
      <c r="AO41" s="313"/>
      <c r="AP41" s="313"/>
      <c r="AQ41" s="313"/>
      <c r="AT41" s="214"/>
      <c r="AU41" s="214"/>
    </row>
    <row r="42" spans="1:47" s="152" customFormat="1" ht="15" customHeight="1" x14ac:dyDescent="0.35">
      <c r="A42" s="313">
        <f>MAX($A$7:A41)+1</f>
        <v>24</v>
      </c>
      <c r="D42" s="215" t="s">
        <v>49</v>
      </c>
      <c r="E42" s="313" t="s">
        <v>259</v>
      </c>
      <c r="F42" s="213" t="str">
        <f t="shared" si="1"/>
        <v>[24]</v>
      </c>
      <c r="G42" s="313" t="str">
        <f>'Annual FOM Costs'!$D$3</f>
        <v>Table B1</v>
      </c>
      <c r="H42" s="153"/>
      <c r="I42" s="276">
        <f ca="1">IF(AND(I$41&gt;0, I$41&lt;=$I$14), INDEX('Annual FOM Costs'!$H$38:$AF$43, MATCH($D42, 'Annual FOM Costs'!$D$38:$D$43, 0), MATCH(I$41, 'Annual FOM Costs'!$H$27:$AF$27, 0)), 0)</f>
        <v>65380643.227225207</v>
      </c>
      <c r="J42" s="276">
        <f ca="1">IF(AND(J$41&gt;0, J$41&lt;=$I$14), INDEX('Annual FOM Costs'!$H$38:$AF$43, MATCH($D42, 'Annual FOM Costs'!$D$38:$D$43, 0), MATCH(J$41, 'Annual FOM Costs'!$H$27:$AF$27, 0)), 0)</f>
        <v>66367396.849890463</v>
      </c>
      <c r="K42" s="276">
        <f ca="1">IF(AND(K$41&gt;0, K$41&lt;=$I$14), INDEX('Annual FOM Costs'!$H$38:$AF$43, MATCH($D42, 'Annual FOM Costs'!$D$38:$D$43, 0), MATCH(K$41, 'Annual FOM Costs'!$H$27:$AF$27, 0)), 0)</f>
        <v>67389881.595332026</v>
      </c>
      <c r="L42" s="276">
        <f ca="1">IF(AND(L$41&gt;0, L$41&lt;=$I$14), INDEX('Annual FOM Costs'!$H$38:$AF$43, MATCH($D42, 'Annual FOM Costs'!$D$38:$D$43, 0), MATCH(L$41, 'Annual FOM Costs'!$H$27:$AF$27, 0)), 0)</f>
        <v>68441773.281798959</v>
      </c>
      <c r="M42" s="276">
        <f ca="1">IF(AND(M$41&gt;0, M$41&lt;=$I$14), INDEX('Annual FOM Costs'!$H$38:$AF$43, MATCH($D42, 'Annual FOM Costs'!$D$38:$D$43, 0), MATCH(M$41, 'Annual FOM Costs'!$H$27:$AF$27, 0)), 0)</f>
        <v>69546184.792847499</v>
      </c>
      <c r="N42" s="276">
        <f ca="1">IF(AND(N$41&gt;0, N$41&lt;=$I$14), INDEX('Annual FOM Costs'!$H$38:$AF$43, MATCH($D42, 'Annual FOM Costs'!$D$38:$D$43, 0), MATCH(N$41, 'Annual FOM Costs'!$H$27:$AF$27, 0)), 0)</f>
        <v>70694579.361424267</v>
      </c>
      <c r="O42" s="276">
        <f ca="1">IF(AND(O$41&gt;0, O$41&lt;=$I$14), INDEX('Annual FOM Costs'!$H$38:$AF$43, MATCH($D42, 'Annual FOM Costs'!$D$38:$D$43, 0), MATCH(O$41, 'Annual FOM Costs'!$H$27:$AF$27, 0)), 0)</f>
        <v>71878049.586947098</v>
      </c>
      <c r="P42" s="276">
        <f ca="1">IF(AND(P$41&gt;0, P$41&lt;=$I$14), INDEX('Annual FOM Costs'!$H$38:$AF$43, MATCH($D42, 'Annual FOM Costs'!$D$38:$D$43, 0), MATCH(P$41, 'Annual FOM Costs'!$H$27:$AF$27, 0)), 0)</f>
        <v>73118402.845152423</v>
      </c>
      <c r="Q42" s="276">
        <f ca="1">IF(AND(Q$41&gt;0, Q$41&lt;=$I$14), INDEX('Annual FOM Costs'!$H$38:$AF$43, MATCH($D42, 'Annual FOM Costs'!$D$38:$D$43, 0), MATCH(Q$41, 'Annual FOM Costs'!$H$27:$AF$27, 0)), 0)</f>
        <v>74406477.860244691</v>
      </c>
      <c r="R42" s="276">
        <f ca="1">IF(AND(R$41&gt;0, R$41&lt;=$I$14), INDEX('Annual FOM Costs'!$H$38:$AF$43, MATCH($D42, 'Annual FOM Costs'!$D$38:$D$43, 0), MATCH(R$41, 'Annual FOM Costs'!$H$27:$AF$27, 0)), 0)</f>
        <v>75733087.27012299</v>
      </c>
      <c r="S42" s="276">
        <f ca="1">IF(AND(S$41&gt;0, S$41&lt;=$I$14), INDEX('Annual FOM Costs'!$H$38:$AF$43, MATCH($D42, 'Annual FOM Costs'!$D$38:$D$43, 0), MATCH(S$41, 'Annual FOM Costs'!$H$27:$AF$27, 0)), 0)</f>
        <v>77119951.93884401</v>
      </c>
      <c r="T42" s="276">
        <f ca="1">IF(AND(T$41&gt;0, T$41&lt;=$I$14), INDEX('Annual FOM Costs'!$H$38:$AF$43, MATCH($D42, 'Annual FOM Costs'!$D$38:$D$43, 0), MATCH(T$41, 'Annual FOM Costs'!$H$27:$AF$27, 0)), 0)</f>
        <v>78557920.045972005</v>
      </c>
      <c r="U42" s="276">
        <f ca="1">IF(AND(U$41&gt;0, U$41&lt;=$I$14), INDEX('Annual FOM Costs'!$H$38:$AF$43, MATCH($D42, 'Annual FOM Costs'!$D$38:$D$43, 0), MATCH(U$41, 'Annual FOM Costs'!$H$27:$AF$27, 0)), 0)</f>
        <v>80037873.182365447</v>
      </c>
      <c r="V42" s="276">
        <f ca="1">IF(AND(V$41&gt;0, V$41&lt;=$I$14), INDEX('Annual FOM Costs'!$H$38:$AF$43, MATCH($D42, 'Annual FOM Costs'!$D$38:$D$43, 0), MATCH(V$41, 'Annual FOM Costs'!$H$27:$AF$27, 0)), 0)</f>
        <v>81581619.934395164</v>
      </c>
      <c r="W42" s="276">
        <f ca="1">IF(AND(W$41&gt;0, W$41&lt;=$I$14), INDEX('Annual FOM Costs'!$H$38:$AF$43, MATCH($D42, 'Annual FOM Costs'!$D$38:$D$43, 0), MATCH(W$41, 'Annual FOM Costs'!$H$27:$AF$27, 0)), 0)</f>
        <v>83180117.512040675</v>
      </c>
      <c r="X42" s="276">
        <f ca="1">IF(AND(X$41&gt;0, X$41&lt;=$I$14), INDEX('Annual FOM Costs'!$H$38:$AF$43, MATCH($D42, 'Annual FOM Costs'!$D$38:$D$43, 0), MATCH(X$41, 'Annual FOM Costs'!$H$27:$AF$27, 0)), 0)</f>
        <v>84828776.649540082</v>
      </c>
      <c r="Y42" s="276">
        <f ca="1">IF(AND(Y$41&gt;0, Y$41&lt;=$I$14), INDEX('Annual FOM Costs'!$H$38:$AF$43, MATCH($D42, 'Annual FOM Costs'!$D$38:$D$43, 0), MATCH(Y$41, 'Annual FOM Costs'!$H$27:$AF$27, 0)), 0)</f>
        <v>86537395.734759837</v>
      </c>
      <c r="Z42" s="276">
        <f ca="1">IF(AND(Z$41&gt;0, Z$41&lt;=$I$14), INDEX('Annual FOM Costs'!$H$38:$AF$43, MATCH($D42, 'Annual FOM Costs'!$D$38:$D$43, 0), MATCH(Z$41, 'Annual FOM Costs'!$H$27:$AF$27, 0)), 0)</f>
        <v>88304778.618276954</v>
      </c>
      <c r="AA42" s="276">
        <f ca="1">IF(AND(AA$41&gt;0, AA$41&lt;=$I$14), INDEX('Annual FOM Costs'!$H$38:$AF$43, MATCH($D42, 'Annual FOM Costs'!$D$38:$D$43, 0), MATCH(AA$41, 'Annual FOM Costs'!$H$27:$AF$27, 0)), 0)</f>
        <v>90127570.254356951</v>
      </c>
      <c r="AB42" s="276">
        <f ca="1">IF(AND(AB$41&gt;0, AB$41&lt;=$I$14), INDEX('Annual FOM Costs'!$H$38:$AF$43, MATCH($D42, 'Annual FOM Costs'!$D$38:$D$43, 0), MATCH(AB$41, 'Annual FOM Costs'!$H$27:$AF$27, 0)), 0)</f>
        <v>92020114.051160619</v>
      </c>
      <c r="AC42" s="276">
        <f>IF(AND(AC$41&gt;0, AC$41&lt;=$I$14), INDEX('Annual FOM Costs'!$H$38:$AF$43, MATCH($D42, 'Annual FOM Costs'!$D$38:$D$43, 0), MATCH(AC$41, 'Annual FOM Costs'!$H$27:$AF$27, 0)), 0)</f>
        <v>0</v>
      </c>
      <c r="AD42" s="276">
        <f>IF(AND(AD$41&gt;0, AD$41&lt;=$I$14), INDEX('Annual FOM Costs'!$H$38:$AF$43, MATCH($D42, 'Annual FOM Costs'!$D$38:$D$43, 0), MATCH(AD$41, 'Annual FOM Costs'!$H$27:$AF$27, 0)), 0)</f>
        <v>0</v>
      </c>
      <c r="AE42" s="276">
        <f>IF(AND(AE$41&gt;0, AE$41&lt;=$I$14), INDEX('Annual FOM Costs'!$H$38:$AF$43, MATCH($D42, 'Annual FOM Costs'!$D$38:$D$43, 0), MATCH(AE$41, 'Annual FOM Costs'!$H$27:$AF$27, 0)), 0)</f>
        <v>0</v>
      </c>
      <c r="AF42" s="276">
        <f>IF(AND(AF$41&gt;0, AF$41&lt;=$I$14), INDEX('Annual FOM Costs'!$H$38:$AF$43, MATCH($D42, 'Annual FOM Costs'!$D$38:$D$43, 0), MATCH(AF$41, 'Annual FOM Costs'!$H$27:$AF$27, 0)), 0)</f>
        <v>0</v>
      </c>
      <c r="AG42" s="276">
        <f>IF(AND(AG$41&gt;0, AG$41&lt;=$I$14), INDEX('Annual FOM Costs'!$H$38:$AF$43, MATCH($D42, 'Annual FOM Costs'!$D$38:$D$43, 0), MATCH(AG$41, 'Annual FOM Costs'!$H$27:$AF$27, 0)), 0)</f>
        <v>0</v>
      </c>
      <c r="AH42" s="153"/>
      <c r="AI42" s="153"/>
      <c r="AJ42" s="153"/>
      <c r="AK42" s="153"/>
      <c r="AL42" s="153"/>
      <c r="AM42" s="153"/>
      <c r="AN42" s="153"/>
      <c r="AO42" s="153"/>
      <c r="AP42" s="153"/>
      <c r="AQ42" s="153"/>
      <c r="AT42" s="214"/>
      <c r="AU42" s="214"/>
    </row>
    <row r="43" spans="1:47" s="152" customFormat="1" ht="15" customHeight="1" x14ac:dyDescent="0.35">
      <c r="A43" s="313">
        <f>MAX($A$7:A42)+1</f>
        <v>25</v>
      </c>
      <c r="D43" s="215" t="s">
        <v>251</v>
      </c>
      <c r="E43" s="313" t="s">
        <v>259</v>
      </c>
      <c r="F43" s="213" t="str">
        <f t="shared" si="1"/>
        <v>[25]</v>
      </c>
      <c r="G43" s="313" t="s">
        <v>39</v>
      </c>
      <c r="H43" s="153"/>
      <c r="I43" s="153">
        <f>IF(I44&lt;&gt;0, IF($I$11=Control!$K$10, $I$18-$I$36, $I$18),0)</f>
        <v>1961371349.6694851</v>
      </c>
      <c r="J43" s="153">
        <f>IF(J44&lt;&gt;0, IF($I$11=Control!$K$10, $I$18-$I$36, $I$18),0)</f>
        <v>1961371349.6694851</v>
      </c>
      <c r="K43" s="153">
        <f>IF(K44&lt;&gt;0, IF($I$11=Control!$K$10, $I$18-$I$36, $I$18),0)</f>
        <v>1961371349.6694851</v>
      </c>
      <c r="L43" s="153">
        <f>IF(L44&lt;&gt;0, IF($I$11=Control!$K$10, $I$18-$I$36, $I$18),0)</f>
        <v>1961371349.6694851</v>
      </c>
      <c r="M43" s="153">
        <f>IF(M44&lt;&gt;0, IF($I$11=Control!$K$10, $I$18-$I$36, $I$18),0)</f>
        <v>1961371349.6694851</v>
      </c>
      <c r="N43" s="153">
        <f>IF(N44&lt;&gt;0, IF($I$11=Control!$K$10, $I$18-$I$36, $I$18),0)</f>
        <v>1961371349.6694851</v>
      </c>
      <c r="O43" s="153">
        <f>IF(O44&lt;&gt;0, IF($I$11=Control!$K$10, $I$18-$I$36, $I$18),0)</f>
        <v>1961371349.6694851</v>
      </c>
      <c r="P43" s="153">
        <f>IF(P44&lt;&gt;0, IF($I$11=Control!$K$10, $I$18-$I$36, $I$18),0)</f>
        <v>1961371349.6694851</v>
      </c>
      <c r="Q43" s="153">
        <f>IF(Q44&lt;&gt;0, IF($I$11=Control!$K$10, $I$18-$I$36, $I$18),0)</f>
        <v>1961371349.6694851</v>
      </c>
      <c r="R43" s="153">
        <f>IF(R44&lt;&gt;0, IF($I$11=Control!$K$10, $I$18-$I$36, $I$18),0)</f>
        <v>1961371349.6694851</v>
      </c>
      <c r="S43" s="153">
        <f>IF(S44&lt;&gt;0, IF($I$11=Control!$K$10, $I$18-$I$36, $I$18),0)</f>
        <v>1961371349.6694851</v>
      </c>
      <c r="T43" s="153">
        <f>IF(T44&lt;&gt;0, IF($I$11=Control!$K$10, $I$18-$I$36, $I$18),0)</f>
        <v>1961371349.6694851</v>
      </c>
      <c r="U43" s="153">
        <f>IF(U44&lt;&gt;0, IF($I$11=Control!$K$10, $I$18-$I$36, $I$18),0)</f>
        <v>1961371349.6694851</v>
      </c>
      <c r="V43" s="153">
        <f>IF(V44&lt;&gt;0, IF($I$11=Control!$K$10, $I$18-$I$36, $I$18),0)</f>
        <v>1961371349.6694851</v>
      </c>
      <c r="W43" s="153">
        <f>IF(W44&lt;&gt;0, IF($I$11=Control!$K$10, $I$18-$I$36, $I$18),0)</f>
        <v>1961371349.6694851</v>
      </c>
      <c r="X43" s="153">
        <f>IF(X44&lt;&gt;0, IF($I$11=Control!$K$10, $I$18-$I$36, $I$18),0)</f>
        <v>1961371349.6694851</v>
      </c>
      <c r="Y43" s="153">
        <f>IF(Y44&lt;&gt;0, IF($I$11=Control!$K$10, $I$18-$I$36, $I$18),0)</f>
        <v>1961371349.6694851</v>
      </c>
      <c r="Z43" s="153">
        <f>IF(Z44&lt;&gt;0, IF($I$11=Control!$K$10, $I$18-$I$36, $I$18),0)</f>
        <v>1961371349.6694851</v>
      </c>
      <c r="AA43" s="153">
        <f>IF(AA44&lt;&gt;0, IF($I$11=Control!$K$10, $I$18-$I$36, $I$18),0)</f>
        <v>1961371349.6694851</v>
      </c>
      <c r="AB43" s="153">
        <f>IF(AB44&lt;&gt;0, IF($I$11=Control!$K$10, $I$18-$I$36, $I$18),0)</f>
        <v>1961371349.6694851</v>
      </c>
      <c r="AC43" s="153">
        <f>IF(AC44&lt;&gt;0, IF($I$11=Control!$K$10, $I$18-$I$36, $I$18),0)</f>
        <v>1961371349.6694851</v>
      </c>
      <c r="AD43" s="153">
        <f>IF(AD44&lt;&gt;0, IF($I$11=Control!$K$10, $I$18-$I$36, $I$18),0)</f>
        <v>0</v>
      </c>
      <c r="AE43" s="153">
        <f>IF(AE44&lt;&gt;0, IF($I$11=Control!$K$10, $I$18-$I$36, $I$18),0)</f>
        <v>0</v>
      </c>
      <c r="AF43" s="153">
        <f>IF(AF44&lt;&gt;0, IF($I$11=Control!$K$10, $I$18-$I$36, $I$18),0)</f>
        <v>0</v>
      </c>
      <c r="AG43" s="153">
        <f>IF(AG44&lt;&gt;0, IF($I$11=Control!$K$10, $I$18-$I$36, $I$18),0)</f>
        <v>0</v>
      </c>
      <c r="AH43" s="153"/>
      <c r="AI43" s="153"/>
      <c r="AJ43" s="153"/>
      <c r="AK43" s="153"/>
      <c r="AL43" s="153"/>
      <c r="AM43" s="153"/>
      <c r="AN43" s="153"/>
      <c r="AO43" s="153"/>
      <c r="AP43" s="153"/>
      <c r="AQ43" s="153"/>
      <c r="AR43" s="153"/>
      <c r="AT43" s="214"/>
      <c r="AU43" s="219"/>
    </row>
    <row r="44" spans="1:47" s="152" customFormat="1" ht="15" customHeight="1" x14ac:dyDescent="0.35">
      <c r="A44" s="313">
        <f>MAX($A$7:A43)+1</f>
        <v>26</v>
      </c>
      <c r="D44" s="222" t="str">
        <f>$I$28</f>
        <v>20-Year MACRS</v>
      </c>
      <c r="E44" s="152" t="s">
        <v>10</v>
      </c>
      <c r="F44" s="213" t="str">
        <f t="shared" si="1"/>
        <v>[26]</v>
      </c>
      <c r="G44" s="313" t="str">
        <f>'Tax Depreciation'!$D$3</f>
        <v>Table C3</v>
      </c>
      <c r="I44" s="154">
        <f>IF($AU$44="MACRS",INDEX('Tax Depreciation'!$E$13:$J$63,MATCH(I$41,'Tax Depreciation'!$D$13:$D$63,0),MATCH($AT$44,'Tax Depreciation'!$E$8:$J$8,0)),INDEX('Tax Depreciation'!$L$13:$Q$63,MATCH(I$41,'Tax Depreciation'!$D$13:$D$63,0),MATCH($AT$44,'Tax Depreciation'!$L$8:$Q$8,0)))</f>
        <v>4.6879999999999998E-2</v>
      </c>
      <c r="J44" s="154">
        <f>IF($AU$44="MACRS",INDEX('Tax Depreciation'!$E$13:$J$63,MATCH(J$41,'Tax Depreciation'!$D$13:$D$63,0),MATCH($AT$44,'Tax Depreciation'!$E$8:$J$8,0)),INDEX('Tax Depreciation'!$L$13:$Q$63,MATCH(J$41,'Tax Depreciation'!$D$13:$D$63,0),MATCH($AT$44,'Tax Depreciation'!$L$8:$Q$8,0)))</f>
        <v>7.1480000000000002E-2</v>
      </c>
      <c r="K44" s="154">
        <f>IF($AU$44="MACRS",INDEX('Tax Depreciation'!$E$13:$J$63,MATCH(K$41,'Tax Depreciation'!$D$13:$D$63,0),MATCH($AT$44,'Tax Depreciation'!$E$8:$J$8,0)),INDEX('Tax Depreciation'!$L$13:$Q$63,MATCH(K$41,'Tax Depreciation'!$D$13:$D$63,0),MATCH($AT$44,'Tax Depreciation'!$L$8:$Q$8,0)))</f>
        <v>6.6119999999999998E-2</v>
      </c>
      <c r="L44" s="154">
        <f>IF($AU$44="MACRS",INDEX('Tax Depreciation'!$E$13:$J$63,MATCH(L$41,'Tax Depreciation'!$D$13:$D$63,0),MATCH($AT$44,'Tax Depreciation'!$E$8:$J$8,0)),INDEX('Tax Depreciation'!$L$13:$Q$63,MATCH(L$41,'Tax Depreciation'!$D$13:$D$63,0),MATCH($AT$44,'Tax Depreciation'!$L$8:$Q$8,0)))</f>
        <v>6.1159999999999999E-2</v>
      </c>
      <c r="M44" s="154">
        <f>IF($AU$44="MACRS",INDEX('Tax Depreciation'!$E$13:$J$63,MATCH(M$41,'Tax Depreciation'!$D$13:$D$63,0),MATCH($AT$44,'Tax Depreciation'!$E$8:$J$8,0)),INDEX('Tax Depreciation'!$L$13:$Q$63,MATCH(M$41,'Tax Depreciation'!$D$13:$D$63,0),MATCH($AT$44,'Tax Depreciation'!$L$8:$Q$8,0)))</f>
        <v>5.6580000000000005E-2</v>
      </c>
      <c r="N44" s="154">
        <f>IF($AU$44="MACRS",INDEX('Tax Depreciation'!$E$13:$J$63,MATCH(N$41,'Tax Depreciation'!$D$13:$D$63,0),MATCH($AT$44,'Tax Depreciation'!$E$8:$J$8,0)),INDEX('Tax Depreciation'!$L$13:$Q$63,MATCH(N$41,'Tax Depreciation'!$D$13:$D$63,0),MATCH($AT$44,'Tax Depreciation'!$L$8:$Q$8,0)))</f>
        <v>5.2329999999999995E-2</v>
      </c>
      <c r="O44" s="154">
        <f>IF($AU$44="MACRS",INDEX('Tax Depreciation'!$E$13:$J$63,MATCH(O$41,'Tax Depreciation'!$D$13:$D$63,0),MATCH($AT$44,'Tax Depreciation'!$E$8:$J$8,0)),INDEX('Tax Depreciation'!$L$13:$Q$63,MATCH(O$41,'Tax Depreciation'!$D$13:$D$63,0),MATCH($AT$44,'Tax Depreciation'!$L$8:$Q$8,0)))</f>
        <v>4.8410000000000002E-2</v>
      </c>
      <c r="P44" s="154">
        <f>IF($AU$44="MACRS",INDEX('Tax Depreciation'!$E$13:$J$63,MATCH(P$41,'Tax Depreciation'!$D$13:$D$63,0),MATCH($AT$44,'Tax Depreciation'!$E$8:$J$8,0)),INDEX('Tax Depreciation'!$L$13:$Q$63,MATCH(P$41,'Tax Depreciation'!$D$13:$D$63,0),MATCH($AT$44,'Tax Depreciation'!$L$8:$Q$8,0)))</f>
        <v>4.478E-2</v>
      </c>
      <c r="Q44" s="154">
        <f>IF($AU$44="MACRS",INDEX('Tax Depreciation'!$E$13:$J$63,MATCH(Q$41,'Tax Depreciation'!$D$13:$D$63,0),MATCH($AT$44,'Tax Depreciation'!$E$8:$J$8,0)),INDEX('Tax Depreciation'!$L$13:$Q$63,MATCH(Q$41,'Tax Depreciation'!$D$13:$D$63,0),MATCH($AT$44,'Tax Depreciation'!$L$8:$Q$8,0)))</f>
        <v>4.4630000000000003E-2</v>
      </c>
      <c r="R44" s="154">
        <f>IF($AU$44="MACRS",INDEX('Tax Depreciation'!$E$13:$J$63,MATCH(R$41,'Tax Depreciation'!$D$13:$D$63,0),MATCH($AT$44,'Tax Depreciation'!$E$8:$J$8,0)),INDEX('Tax Depreciation'!$L$13:$Q$63,MATCH(R$41,'Tax Depreciation'!$D$13:$D$63,0),MATCH($AT$44,'Tax Depreciation'!$L$8:$Q$8,0)))</f>
        <v>4.4630000000000003E-2</v>
      </c>
      <c r="S44" s="154">
        <f>IF($AU$44="MACRS",INDEX('Tax Depreciation'!$E$13:$J$63,MATCH(S$41,'Tax Depreciation'!$D$13:$D$63,0),MATCH($AT$44,'Tax Depreciation'!$E$8:$J$8,0)),INDEX('Tax Depreciation'!$L$13:$Q$63,MATCH(S$41,'Tax Depreciation'!$D$13:$D$63,0),MATCH($AT$44,'Tax Depreciation'!$L$8:$Q$8,0)))</f>
        <v>4.4630000000000003E-2</v>
      </c>
      <c r="T44" s="154">
        <f>IF($AU$44="MACRS",INDEX('Tax Depreciation'!$E$13:$J$63,MATCH(T$41,'Tax Depreciation'!$D$13:$D$63,0),MATCH($AT$44,'Tax Depreciation'!$E$8:$J$8,0)),INDEX('Tax Depreciation'!$L$13:$Q$63,MATCH(T$41,'Tax Depreciation'!$D$13:$D$63,0),MATCH($AT$44,'Tax Depreciation'!$L$8:$Q$8,0)))</f>
        <v>4.4630000000000003E-2</v>
      </c>
      <c r="U44" s="154">
        <f>IF($AU$44="MACRS",INDEX('Tax Depreciation'!$E$13:$J$63,MATCH(U$41,'Tax Depreciation'!$D$13:$D$63,0),MATCH($AT$44,'Tax Depreciation'!$E$8:$J$8,0)),INDEX('Tax Depreciation'!$L$13:$Q$63,MATCH(U$41,'Tax Depreciation'!$D$13:$D$63,0),MATCH($AT$44,'Tax Depreciation'!$L$8:$Q$8,0)))</f>
        <v>4.4630000000000003E-2</v>
      </c>
      <c r="V44" s="154">
        <f>IF($AU$44="MACRS",INDEX('Tax Depreciation'!$E$13:$J$63,MATCH(V$41,'Tax Depreciation'!$D$13:$D$63,0),MATCH($AT$44,'Tax Depreciation'!$E$8:$J$8,0)),INDEX('Tax Depreciation'!$L$13:$Q$63,MATCH(V$41,'Tax Depreciation'!$D$13:$D$63,0),MATCH($AT$44,'Tax Depreciation'!$L$8:$Q$8,0)))</f>
        <v>4.4630000000000003E-2</v>
      </c>
      <c r="W44" s="154">
        <f>IF($AU$44="MACRS",INDEX('Tax Depreciation'!$E$13:$J$63,MATCH(W$41,'Tax Depreciation'!$D$13:$D$63,0),MATCH($AT$44,'Tax Depreciation'!$E$8:$J$8,0)),INDEX('Tax Depreciation'!$L$13:$Q$63,MATCH(W$41,'Tax Depreciation'!$D$13:$D$63,0),MATCH($AT$44,'Tax Depreciation'!$L$8:$Q$8,0)))</f>
        <v>4.462E-2</v>
      </c>
      <c r="X44" s="154">
        <f>IF($AU$44="MACRS",INDEX('Tax Depreciation'!$E$13:$J$63,MATCH(X$41,'Tax Depreciation'!$D$13:$D$63,0),MATCH($AT$44,'Tax Depreciation'!$E$8:$J$8,0)),INDEX('Tax Depreciation'!$L$13:$Q$63,MATCH(X$41,'Tax Depreciation'!$D$13:$D$63,0),MATCH($AT$44,'Tax Depreciation'!$L$8:$Q$8,0)))</f>
        <v>4.4630000000000003E-2</v>
      </c>
      <c r="Y44" s="154">
        <f>IF($AU$44="MACRS",INDEX('Tax Depreciation'!$E$13:$J$63,MATCH(Y$41,'Tax Depreciation'!$D$13:$D$63,0),MATCH($AT$44,'Tax Depreciation'!$E$8:$J$8,0)),INDEX('Tax Depreciation'!$L$13:$Q$63,MATCH(Y$41,'Tax Depreciation'!$D$13:$D$63,0),MATCH($AT$44,'Tax Depreciation'!$L$8:$Q$8,0)))</f>
        <v>4.462E-2</v>
      </c>
      <c r="Z44" s="154">
        <f>IF($AU$44="MACRS",INDEX('Tax Depreciation'!$E$13:$J$63,MATCH(Z$41,'Tax Depreciation'!$D$13:$D$63,0),MATCH($AT$44,'Tax Depreciation'!$E$8:$J$8,0)),INDEX('Tax Depreciation'!$L$13:$Q$63,MATCH(Z$41,'Tax Depreciation'!$D$13:$D$63,0),MATCH($AT$44,'Tax Depreciation'!$L$8:$Q$8,0)))</f>
        <v>4.4630000000000003E-2</v>
      </c>
      <c r="AA44" s="154">
        <f>IF($AU$44="MACRS",INDEX('Tax Depreciation'!$E$13:$J$63,MATCH(AA$41,'Tax Depreciation'!$D$13:$D$63,0),MATCH($AT$44,'Tax Depreciation'!$E$8:$J$8,0)),INDEX('Tax Depreciation'!$L$13:$Q$63,MATCH(AA$41,'Tax Depreciation'!$D$13:$D$63,0),MATCH($AT$44,'Tax Depreciation'!$L$8:$Q$8,0)))</f>
        <v>4.462E-2</v>
      </c>
      <c r="AB44" s="154">
        <f>IF($AU$44="MACRS",INDEX('Tax Depreciation'!$E$13:$J$63,MATCH(AB$41,'Tax Depreciation'!$D$13:$D$63,0),MATCH($AT$44,'Tax Depreciation'!$E$8:$J$8,0)),INDEX('Tax Depreciation'!$L$13:$Q$63,MATCH(AB$41,'Tax Depreciation'!$D$13:$D$63,0),MATCH($AT$44,'Tax Depreciation'!$L$8:$Q$8,0)))</f>
        <v>4.4630000000000003E-2</v>
      </c>
      <c r="AC44" s="154">
        <f>IF($AU$44="MACRS",INDEX('Tax Depreciation'!$E$13:$J$63,MATCH(AC$41,'Tax Depreciation'!$D$13:$D$63,0),MATCH($AT$44,'Tax Depreciation'!$E$8:$J$8,0)),INDEX('Tax Depreciation'!$L$13:$Q$63,MATCH(AC$41,'Tax Depreciation'!$D$13:$D$63,0),MATCH($AT$44,'Tax Depreciation'!$L$8:$Q$8,0)))</f>
        <v>1.6730000000000002E-2</v>
      </c>
      <c r="AD44" s="154">
        <f>IF($AU$44="MACRS",INDEX('Tax Depreciation'!$E$13:$J$63,MATCH(AD$41,'Tax Depreciation'!$D$13:$D$63,0),MATCH($AT$44,'Tax Depreciation'!$E$8:$J$8,0)),INDEX('Tax Depreciation'!$L$13:$Q$63,MATCH(AD$41,'Tax Depreciation'!$D$13:$D$63,0),MATCH($AT$44,'Tax Depreciation'!$L$8:$Q$8,0)))</f>
        <v>0</v>
      </c>
      <c r="AE44" s="154">
        <f>IF($AU$44="MACRS",INDEX('Tax Depreciation'!$E$13:$J$63,MATCH(AE$41,'Tax Depreciation'!$D$13:$D$63,0),MATCH($AT$44,'Tax Depreciation'!$E$8:$J$8,0)),INDEX('Tax Depreciation'!$L$13:$Q$63,MATCH(AE$41,'Tax Depreciation'!$D$13:$D$63,0),MATCH($AT$44,'Tax Depreciation'!$L$8:$Q$8,0)))</f>
        <v>0</v>
      </c>
      <c r="AF44" s="154">
        <f>IF($AU$44="MACRS",INDEX('Tax Depreciation'!$E$13:$J$63,MATCH(AF$41,'Tax Depreciation'!$D$13:$D$63,0),MATCH($AT$44,'Tax Depreciation'!$E$8:$J$8,0)),INDEX('Tax Depreciation'!$L$13:$Q$63,MATCH(AF$41,'Tax Depreciation'!$D$13:$D$63,0),MATCH($AT$44,'Tax Depreciation'!$L$8:$Q$8,0)))</f>
        <v>0</v>
      </c>
      <c r="AG44" s="154">
        <f>IF($AU$44="MACRS",INDEX('Tax Depreciation'!$E$13:$J$63,MATCH(AG$41,'Tax Depreciation'!$D$13:$D$63,0),MATCH($AT$44,'Tax Depreciation'!$E$8:$J$8,0)),INDEX('Tax Depreciation'!$L$13:$Q$63,MATCH(AG$41,'Tax Depreciation'!$D$13:$D$63,0),MATCH($AT$44,'Tax Depreciation'!$L$8:$Q$8,0)))</f>
        <v>0</v>
      </c>
      <c r="AH44" s="154"/>
      <c r="AI44" s="154"/>
      <c r="AJ44" s="154"/>
      <c r="AK44" s="154"/>
      <c r="AL44" s="154"/>
      <c r="AM44" s="154"/>
      <c r="AN44" s="154"/>
      <c r="AO44" s="154"/>
      <c r="AP44" s="154"/>
      <c r="AQ44" s="154"/>
      <c r="AT44" s="219" t="str">
        <f>LEFT($I$28, FIND(" ", $I$28)-1)</f>
        <v>20-Year</v>
      </c>
      <c r="AU44" s="219" t="str">
        <f>RIGHT($I$28, LEN($I$28) - FIND(" ", $I$28))</f>
        <v>MACRS</v>
      </c>
    </row>
    <row r="45" spans="1:47" s="152" customFormat="1" ht="15" customHeight="1" x14ac:dyDescent="0.35">
      <c r="A45" s="313">
        <f>MAX($A$7:A44)+1</f>
        <v>27</v>
      </c>
      <c r="D45" s="215" t="s">
        <v>62</v>
      </c>
      <c r="E45" s="313" t="s">
        <v>259</v>
      </c>
      <c r="F45" s="213" t="str">
        <f t="shared" si="1"/>
        <v>[27]</v>
      </c>
      <c r="G45" s="313" t="s">
        <v>39</v>
      </c>
      <c r="I45" s="153">
        <f>IF(I$41=1,(($I$29*I$43)+(I$44*I$43*(1-$I$29))),(I$44*I$43*(1-$I$29)))</f>
        <v>91949088.872505456</v>
      </c>
      <c r="J45" s="153">
        <f t="shared" ref="J45:AG45" si="4">IF(J$41=1,(($I$29*J$43)+(J$44*J$43*(1-$I$29))),(J$44*J$43*(1-$I$29)))</f>
        <v>140198824.07437479</v>
      </c>
      <c r="K45" s="153">
        <f t="shared" si="4"/>
        <v>129685873.64014634</v>
      </c>
      <c r="L45" s="153">
        <f t="shared" si="4"/>
        <v>119957471.74578571</v>
      </c>
      <c r="M45" s="153">
        <f t="shared" si="4"/>
        <v>110974390.96429947</v>
      </c>
      <c r="N45" s="153">
        <f t="shared" si="4"/>
        <v>102638562.72820415</v>
      </c>
      <c r="O45" s="153">
        <f t="shared" si="4"/>
        <v>94949987.037499771</v>
      </c>
      <c r="P45" s="153">
        <f t="shared" si="4"/>
        <v>87830209.038199544</v>
      </c>
      <c r="Q45" s="153">
        <f t="shared" si="4"/>
        <v>87536003.33574912</v>
      </c>
      <c r="R45" s="153">
        <f t="shared" si="4"/>
        <v>87536003.33574912</v>
      </c>
      <c r="S45" s="153">
        <f t="shared" si="4"/>
        <v>87536003.33574912</v>
      </c>
      <c r="T45" s="153">
        <f t="shared" si="4"/>
        <v>87536003.33574912</v>
      </c>
      <c r="U45" s="153">
        <f t="shared" si="4"/>
        <v>87536003.33574912</v>
      </c>
      <c r="V45" s="153">
        <f t="shared" si="4"/>
        <v>87536003.33574912</v>
      </c>
      <c r="W45" s="153">
        <f t="shared" si="4"/>
        <v>87516389.62225242</v>
      </c>
      <c r="X45" s="153">
        <f t="shared" si="4"/>
        <v>87536003.33574912</v>
      </c>
      <c r="Y45" s="153">
        <f t="shared" si="4"/>
        <v>87516389.62225242</v>
      </c>
      <c r="Z45" s="153">
        <f t="shared" si="4"/>
        <v>87536003.33574912</v>
      </c>
      <c r="AA45" s="153">
        <f t="shared" si="4"/>
        <v>87516389.62225242</v>
      </c>
      <c r="AB45" s="153">
        <f t="shared" si="4"/>
        <v>87536003.33574912</v>
      </c>
      <c r="AC45" s="153">
        <f t="shared" si="4"/>
        <v>32813742.679970488</v>
      </c>
      <c r="AD45" s="153">
        <f t="shared" si="4"/>
        <v>0</v>
      </c>
      <c r="AE45" s="153">
        <f t="shared" si="4"/>
        <v>0</v>
      </c>
      <c r="AF45" s="153">
        <f t="shared" si="4"/>
        <v>0</v>
      </c>
      <c r="AG45" s="153">
        <f t="shared" si="4"/>
        <v>0</v>
      </c>
      <c r="AH45" s="153"/>
      <c r="AI45" s="153"/>
      <c r="AJ45" s="153"/>
      <c r="AK45" s="153"/>
      <c r="AL45" s="153"/>
      <c r="AM45" s="153"/>
      <c r="AN45" s="153"/>
      <c r="AO45" s="153"/>
      <c r="AP45" s="153"/>
      <c r="AQ45" s="153"/>
      <c r="AT45" s="214"/>
      <c r="AU45" s="214"/>
    </row>
    <row r="46" spans="1:47" s="152" customFormat="1" ht="6" customHeight="1" x14ac:dyDescent="0.35">
      <c r="D46" s="159"/>
      <c r="E46" s="155"/>
      <c r="F46" s="221"/>
      <c r="G46" s="159"/>
      <c r="H46" s="155"/>
      <c r="I46" s="159"/>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204"/>
      <c r="AI46" s="204"/>
      <c r="AJ46" s="204"/>
      <c r="AK46" s="204"/>
      <c r="AL46" s="204"/>
      <c r="AM46" s="204"/>
      <c r="AN46" s="204"/>
      <c r="AO46" s="204"/>
      <c r="AP46" s="204"/>
      <c r="AQ46" s="204"/>
      <c r="AT46" s="214"/>
      <c r="AU46" s="214"/>
    </row>
    <row r="47" spans="1:47" s="152" customFormat="1" ht="6" customHeight="1" x14ac:dyDescent="0.35">
      <c r="D47" s="313"/>
      <c r="F47" s="213"/>
      <c r="G47" s="313"/>
      <c r="I47" s="313"/>
      <c r="AT47" s="214"/>
      <c r="AU47" s="214"/>
    </row>
    <row r="48" spans="1:47" s="313" customFormat="1" ht="15" customHeight="1" x14ac:dyDescent="0.35">
      <c r="D48" s="1824" t="s">
        <v>242</v>
      </c>
      <c r="F48" s="312"/>
      <c r="J48" s="158"/>
      <c r="K48" s="154"/>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T48" s="214"/>
      <c r="AU48" s="214"/>
    </row>
    <row r="49" spans="4:47" s="313" customFormat="1" ht="15" customHeight="1" x14ac:dyDescent="0.35">
      <c r="G49" s="1570" t="str">
        <f>"(1 + ATWACC)/(1 + Revenue Escalation Rate) - 1 ="</f>
        <v>(1 + ATWACC)/(1 + Revenue Escalation Rate) - 1 =</v>
      </c>
      <c r="H49" s="1571">
        <f>(1+$I$26)/(1+$I$25)-1</f>
        <v>9.5187440099999909E-2</v>
      </c>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T49" s="214"/>
      <c r="AU49" s="214"/>
    </row>
    <row r="50" spans="4:47" s="313" customFormat="1" ht="6" customHeight="1" thickBot="1" x14ac:dyDescent="0.4">
      <c r="E50" s="1572"/>
      <c r="F50" s="1572"/>
      <c r="G50" s="1573"/>
      <c r="H50" s="1573"/>
      <c r="I50" s="157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T50" s="214"/>
      <c r="AU50" s="214"/>
    </row>
    <row r="51" spans="4:47" s="313" customFormat="1" ht="6" customHeight="1" thickTop="1" x14ac:dyDescent="0.35">
      <c r="E51" s="158"/>
      <c r="F51" s="158"/>
      <c r="G51" s="154"/>
      <c r="H51" s="154"/>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T51" s="214"/>
      <c r="AU51" s="214"/>
    </row>
    <row r="52" spans="4:47" s="313" customFormat="1" ht="30" customHeight="1" x14ac:dyDescent="0.35">
      <c r="E52" s="1574" t="s">
        <v>243</v>
      </c>
      <c r="F52" s="1574" t="s">
        <v>560</v>
      </c>
      <c r="G52" s="1574" t="s">
        <v>560</v>
      </c>
      <c r="H52" s="1574" t="s">
        <v>560</v>
      </c>
      <c r="I52" s="1575" t="s">
        <v>229</v>
      </c>
      <c r="L52" s="356"/>
      <c r="M52" s="356"/>
      <c r="N52" s="356"/>
      <c r="O52" s="356"/>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T52" s="214"/>
      <c r="AU52" s="214"/>
    </row>
    <row r="53" spans="4:47" s="313" customFormat="1" ht="15" customHeight="1" x14ac:dyDescent="0.35">
      <c r="E53" s="1576" t="s">
        <v>244</v>
      </c>
      <c r="F53" s="1576" t="s">
        <v>245</v>
      </c>
      <c r="G53" s="1576" t="s">
        <v>245</v>
      </c>
      <c r="H53" s="1576" t="s">
        <v>245</v>
      </c>
      <c r="L53" s="356"/>
      <c r="M53" s="2200"/>
      <c r="N53" s="2200"/>
      <c r="O53" s="356"/>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T53" s="214"/>
      <c r="AU53" s="214"/>
    </row>
    <row r="54" spans="4:47" s="313" customFormat="1" ht="15" customHeight="1" x14ac:dyDescent="0.35">
      <c r="E54" s="1577" t="str">
        <f>"("&amp;YEAR($I$8)&amp;"$m)"</f>
        <v>(2028$m)</v>
      </c>
      <c r="F54" s="1577" t="str">
        <f>"("&amp;YEAR($I$8)&amp;"$m/yr)"</f>
        <v>(2028$m/yr)</v>
      </c>
      <c r="G54" s="1577" t="str">
        <f>"("&amp;YEAR($I$8)&amp;"$/kW-yr)"</f>
        <v>(2028$/kW-yr)</v>
      </c>
      <c r="H54" s="1577" t="str">
        <f>"("&amp;YEAR($I$8)&amp;"$/MW-day)"</f>
        <v>(2028$/MW-day)</v>
      </c>
      <c r="I54" s="1577" t="s">
        <v>10</v>
      </c>
      <c r="L54" s="356"/>
      <c r="M54" s="1835"/>
      <c r="N54" s="1829"/>
      <c r="O54" s="356"/>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T54" s="214"/>
      <c r="AU54" s="214"/>
    </row>
    <row r="55" spans="4:47" s="313" customFormat="1" ht="15" customHeight="1" x14ac:dyDescent="0.35">
      <c r="D55" s="166" t="str">
        <f>"(+) Investment Costs"</f>
        <v>(+) Investment Costs</v>
      </c>
      <c r="E55" s="153">
        <f>($I$13*$I$21)/1000</f>
        <v>2304.2550912588003</v>
      </c>
      <c r="F55" s="153">
        <f>(-PMT($H$49, $I$14, $E55, 0, 1)*(1 + $I$26)^0.5)/(1-$I$27)</f>
        <v>344.19009352740852</v>
      </c>
      <c r="G55" s="153">
        <f>($F55*1000)/$I$13</f>
        <v>269.71101500097836</v>
      </c>
      <c r="H55" s="153">
        <f>G55*(1000/365)</f>
        <v>738.93428767391333</v>
      </c>
      <c r="I55" s="1578">
        <f ca="1">($G$60-$G$56)/$I$20</f>
        <v>0.16867594984333079</v>
      </c>
      <c r="J55" s="153"/>
      <c r="K55" s="153"/>
      <c r="L55" s="356"/>
      <c r="M55" s="356"/>
      <c r="O55" s="356"/>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T55" s="214"/>
      <c r="AU55" s="214"/>
    </row>
    <row r="56" spans="4:47" s="313" customFormat="1" ht="15" customHeight="1" x14ac:dyDescent="0.35">
      <c r="D56" s="166" t="str">
        <f>"(+) Operating Costs"</f>
        <v>(+) Operating Costs</v>
      </c>
      <c r="E56" s="153">
        <f ca="1">((1-$I$27)*NPV($I$26, $I$42:$AG$42)*(1+$I$26)^0.5)/1000000</f>
        <v>491.02097053046828</v>
      </c>
      <c r="F56" s="153">
        <f ca="1">(-PMT($H$49, $I$14, $E56, 0, 1)*(1 + $I$26)^0.5)/(1-$I$27)</f>
        <v>73.34455044145075</v>
      </c>
      <c r="G56" s="153">
        <f ca="1">($F56*1000)/$I$13</f>
        <v>57.47356915947632</v>
      </c>
      <c r="H56" s="153">
        <f ca="1">G56*(1000/365)</f>
        <v>157.46183331363375</v>
      </c>
      <c r="I56" s="1579"/>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T56" s="214"/>
      <c r="AU56" s="214"/>
    </row>
    <row r="57" spans="4:47" s="313" customFormat="1" ht="15" customHeight="1" x14ac:dyDescent="0.35">
      <c r="D57" s="166" t="s">
        <v>252</v>
      </c>
      <c r="E57" s="153">
        <f>-((NPV($I$26,$I$77:$AG$77)*(1+$I$26)^0.5)/1000000)</f>
        <v>0</v>
      </c>
      <c r="F57" s="153">
        <f>(-PMT($H$49, $I$14, $E57, 0, 1)*(1 + $I$26)^0.5)/(1-$I$27)</f>
        <v>0</v>
      </c>
      <c r="G57" s="153">
        <f>($F57*1000)/$I$13</f>
        <v>0</v>
      </c>
      <c r="H57" s="153">
        <f>G57*(1000/365)</f>
        <v>0</v>
      </c>
      <c r="I57" s="1579"/>
      <c r="J57" s="153" t="s">
        <v>604</v>
      </c>
      <c r="K57" s="2199" t="s">
        <v>646</v>
      </c>
      <c r="L57" s="2199"/>
      <c r="M57" s="2199" t="s">
        <v>644</v>
      </c>
      <c r="N57" s="2199"/>
      <c r="O57" s="1827" t="s">
        <v>607</v>
      </c>
      <c r="P57" s="2058" t="s">
        <v>287</v>
      </c>
      <c r="Q57" s="356"/>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T57" s="214"/>
      <c r="AU57" s="214"/>
    </row>
    <row r="58" spans="4:47" s="313" customFormat="1" ht="15" customHeight="1" x14ac:dyDescent="0.35">
      <c r="D58" s="166" t="str">
        <f>"(-) Depreciation Tax Shield"</f>
        <v>(-) Depreciation Tax Shield</v>
      </c>
      <c r="E58" s="153">
        <f>(-$I$27*NPV($I$26, $I$45:$AG$45)*(1+$I$26)^0.5)/1000000</f>
        <v>-258.81261612251757</v>
      </c>
      <c r="F58" s="153">
        <f>(-PMT($H$49, $I$14, $E58, 0, 1)*(1 + $I$26)^0.5)/(1-$I$27)</f>
        <v>-38.659234772751809</v>
      </c>
      <c r="G58" s="153">
        <f>($F58*1000)/$I$13</f>
        <v>-30.29378720015281</v>
      </c>
      <c r="H58" s="153">
        <f>G58*(1000/365)</f>
        <v>-82.996677260692621</v>
      </c>
      <c r="I58" s="1579"/>
      <c r="K58" s="312" t="s">
        <v>488</v>
      </c>
      <c r="L58" s="312" t="s">
        <v>485</v>
      </c>
      <c r="M58" s="312" t="s">
        <v>488</v>
      </c>
      <c r="N58" s="312" t="s">
        <v>485</v>
      </c>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T58" s="214"/>
      <c r="AU58" s="214"/>
    </row>
    <row r="59" spans="4:47" s="313" customFormat="1" ht="6" customHeight="1" x14ac:dyDescent="0.35">
      <c r="D59" s="166"/>
      <c r="E59" s="1580"/>
      <c r="F59" s="1580"/>
      <c r="G59" s="1581"/>
      <c r="H59" s="1581"/>
      <c r="I59" s="1579"/>
      <c r="J59" s="1579"/>
      <c r="K59" s="1579"/>
      <c r="M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T59" s="214"/>
      <c r="AU59" s="214"/>
    </row>
    <row r="60" spans="4:47" s="313" customFormat="1" ht="15" customHeight="1" x14ac:dyDescent="0.35">
      <c r="D60" s="173" t="s">
        <v>64</v>
      </c>
      <c r="E60" s="153">
        <f ca="1">SUM(E$55:E$58)</f>
        <v>2536.4634456667509</v>
      </c>
      <c r="F60" s="153">
        <f ca="1">SUM(F$55:F$58)</f>
        <v>378.87540919610746</v>
      </c>
      <c r="G60" s="153">
        <f ca="1">SUM($G55:$G58)</f>
        <v>296.89079696030188</v>
      </c>
      <c r="H60" s="153">
        <f ca="1">G60*(1000/365)</f>
        <v>813.39944372685443</v>
      </c>
      <c r="J60" s="1828">
        <v>3</v>
      </c>
      <c r="K60" s="1831">
        <v>429.90629685024368</v>
      </c>
      <c r="L60" s="1830">
        <f>K60*(1000/365)</f>
        <v>1177.8254708225854</v>
      </c>
      <c r="M60" s="1829">
        <f>N60*365/1000</f>
        <v>239.04043193335798</v>
      </c>
      <c r="N60" s="356">
        <f>_xlfn.XLOOKUP($O$60,'Reservation Prices Table'!$D$17:$D$19,'Reservation Prices Table'!$F$17:$F$19)</f>
        <v>654.90529296810405</v>
      </c>
      <c r="O60" s="1829" t="str">
        <f>Control!$H$10</f>
        <v>CC</v>
      </c>
      <c r="P60" s="1829" t="str">
        <f>Control!$H$11</f>
        <v>Rest of RTO</v>
      </c>
      <c r="Q60" s="153" t="s">
        <v>647</v>
      </c>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T60" s="214"/>
      <c r="AU60" s="214"/>
    </row>
    <row r="61" spans="4:47" s="313" customFormat="1" ht="6" customHeight="1" thickBot="1" x14ac:dyDescent="0.4">
      <c r="E61" s="1572"/>
      <c r="F61" s="1572"/>
      <c r="G61" s="1573"/>
      <c r="H61" s="1573"/>
      <c r="I61" s="238"/>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T61" s="214"/>
      <c r="AU61" s="214"/>
    </row>
    <row r="62" spans="4:47" s="313" customFormat="1" ht="6" customHeight="1" thickTop="1" x14ac:dyDescent="0.35">
      <c r="E62" s="158"/>
      <c r="F62" s="158"/>
      <c r="G62" s="154"/>
      <c r="H62" s="154"/>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T62" s="214"/>
      <c r="AU62" s="214"/>
    </row>
    <row r="63" spans="4:47" s="313" customFormat="1" ht="15" customHeight="1" x14ac:dyDescent="0.35">
      <c r="F63" s="312"/>
      <c r="I63" s="158"/>
      <c r="J63" s="158"/>
      <c r="K63" s="312" t="s">
        <v>605</v>
      </c>
      <c r="L63" s="312" t="s">
        <v>606</v>
      </c>
      <c r="M63" s="1832"/>
      <c r="O63" s="1829"/>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T63" s="214"/>
      <c r="AU63" s="214"/>
    </row>
    <row r="64" spans="4:47" s="313" customFormat="1" ht="6" customHeight="1" x14ac:dyDescent="0.35">
      <c r="D64" s="159"/>
      <c r="E64" s="159"/>
      <c r="F64" s="244"/>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246"/>
      <c r="AI64" s="246"/>
      <c r="AJ64" s="246"/>
      <c r="AK64" s="246"/>
      <c r="AL64" s="246"/>
      <c r="AM64" s="246"/>
      <c r="AN64" s="246"/>
      <c r="AO64" s="246"/>
      <c r="AP64" s="246"/>
      <c r="AQ64" s="246"/>
      <c r="AT64" s="214"/>
      <c r="AU64" s="214"/>
    </row>
    <row r="65" spans="1:47" s="313" customFormat="1" ht="6" customHeight="1" x14ac:dyDescent="0.35">
      <c r="F65" s="312"/>
      <c r="AT65" s="214"/>
      <c r="AU65" s="214"/>
    </row>
    <row r="66" spans="1:47" s="313" customFormat="1" ht="15" customHeight="1" x14ac:dyDescent="0.35">
      <c r="D66" s="1824" t="s">
        <v>65</v>
      </c>
      <c r="F66" s="312"/>
      <c r="I66" s="167">
        <f ca="1">$H$60/1000*365</f>
        <v>296.89079696030188</v>
      </c>
      <c r="J66" s="167">
        <f t="shared" ref="J66:AB66" ca="1" si="5">$H$60/1000*365</f>
        <v>296.89079696030188</v>
      </c>
      <c r="K66" s="167">
        <f t="shared" ca="1" si="5"/>
        <v>296.89079696030188</v>
      </c>
      <c r="L66" s="167">
        <f t="shared" ca="1" si="5"/>
        <v>296.89079696030188</v>
      </c>
      <c r="M66" s="167">
        <f t="shared" ca="1" si="5"/>
        <v>296.89079696030188</v>
      </c>
      <c r="N66" s="167">
        <f t="shared" ca="1" si="5"/>
        <v>296.89079696030188</v>
      </c>
      <c r="O66" s="167">
        <f t="shared" ca="1" si="5"/>
        <v>296.89079696030188</v>
      </c>
      <c r="P66" s="167">
        <f t="shared" ca="1" si="5"/>
        <v>296.89079696030188</v>
      </c>
      <c r="Q66" s="167">
        <f t="shared" ca="1" si="5"/>
        <v>296.89079696030188</v>
      </c>
      <c r="R66" s="167">
        <f t="shared" ca="1" si="5"/>
        <v>296.89079696030188</v>
      </c>
      <c r="S66" s="167">
        <f t="shared" ca="1" si="5"/>
        <v>296.89079696030188</v>
      </c>
      <c r="T66" s="167">
        <f t="shared" ca="1" si="5"/>
        <v>296.89079696030188</v>
      </c>
      <c r="U66" s="167">
        <f t="shared" ca="1" si="5"/>
        <v>296.89079696030188</v>
      </c>
      <c r="V66" s="167">
        <f t="shared" ca="1" si="5"/>
        <v>296.89079696030188</v>
      </c>
      <c r="W66" s="167">
        <f t="shared" ca="1" si="5"/>
        <v>296.89079696030188</v>
      </c>
      <c r="X66" s="167">
        <f t="shared" ca="1" si="5"/>
        <v>296.89079696030188</v>
      </c>
      <c r="Y66" s="167">
        <f t="shared" ca="1" si="5"/>
        <v>296.89079696030188</v>
      </c>
      <c r="Z66" s="167">
        <f t="shared" ca="1" si="5"/>
        <v>296.89079696030188</v>
      </c>
      <c r="AA66" s="167">
        <f t="shared" ca="1" si="5"/>
        <v>296.89079696030188</v>
      </c>
      <c r="AB66" s="167">
        <f t="shared" ca="1" si="5"/>
        <v>296.89079696030188</v>
      </c>
      <c r="AT66" s="214"/>
      <c r="AU66" s="214"/>
    </row>
    <row r="67" spans="1:47" s="152" customFormat="1" ht="15" customHeight="1" x14ac:dyDescent="0.35">
      <c r="A67" s="313">
        <f>MAX($A$7:A66)+1</f>
        <v>28</v>
      </c>
      <c r="D67" s="215" t="s">
        <v>27</v>
      </c>
      <c r="F67" s="213" t="str">
        <f>"["&amp;A67&amp;"]"</f>
        <v>[28]</v>
      </c>
      <c r="G67" s="313" t="str">
        <f>$F$40</f>
        <v>[22]</v>
      </c>
      <c r="I67" s="313">
        <f>I40</f>
        <v>2028</v>
      </c>
      <c r="J67" s="313">
        <f t="shared" ref="J67:AG67" si="6">J40</f>
        <v>2029</v>
      </c>
      <c r="K67" s="313">
        <f t="shared" si="6"/>
        <v>2030</v>
      </c>
      <c r="L67" s="313">
        <f t="shared" si="6"/>
        <v>2031</v>
      </c>
      <c r="M67" s="313">
        <f t="shared" si="6"/>
        <v>2032</v>
      </c>
      <c r="N67" s="313">
        <f t="shared" si="6"/>
        <v>2033</v>
      </c>
      <c r="O67" s="313">
        <f t="shared" si="6"/>
        <v>2034</v>
      </c>
      <c r="P67" s="313">
        <f t="shared" si="6"/>
        <v>2035</v>
      </c>
      <c r="Q67" s="313">
        <f t="shared" si="6"/>
        <v>2036</v>
      </c>
      <c r="R67" s="313">
        <f t="shared" si="6"/>
        <v>2037</v>
      </c>
      <c r="S67" s="313">
        <f t="shared" si="6"/>
        <v>2038</v>
      </c>
      <c r="T67" s="313">
        <f t="shared" si="6"/>
        <v>2039</v>
      </c>
      <c r="U67" s="313">
        <f t="shared" si="6"/>
        <v>2040</v>
      </c>
      <c r="V67" s="313">
        <f t="shared" si="6"/>
        <v>2041</v>
      </c>
      <c r="W67" s="313">
        <f t="shared" si="6"/>
        <v>2042</v>
      </c>
      <c r="X67" s="313">
        <f t="shared" si="6"/>
        <v>2043</v>
      </c>
      <c r="Y67" s="313">
        <f t="shared" si="6"/>
        <v>2044</v>
      </c>
      <c r="Z67" s="313">
        <f t="shared" si="6"/>
        <v>2045</v>
      </c>
      <c r="AA67" s="313">
        <f t="shared" si="6"/>
        <v>2046</v>
      </c>
      <c r="AB67" s="313">
        <f t="shared" si="6"/>
        <v>2047</v>
      </c>
      <c r="AC67" s="313">
        <f t="shared" si="6"/>
        <v>2048</v>
      </c>
      <c r="AD67" s="313">
        <f t="shared" si="6"/>
        <v>2049</v>
      </c>
      <c r="AE67" s="313">
        <f t="shared" si="6"/>
        <v>2050</v>
      </c>
      <c r="AF67" s="313">
        <f t="shared" si="6"/>
        <v>2051</v>
      </c>
      <c r="AG67" s="313">
        <f t="shared" si="6"/>
        <v>2052</v>
      </c>
      <c r="AT67" s="214"/>
      <c r="AU67" s="214"/>
    </row>
    <row r="68" spans="1:47" s="152" customFormat="1" ht="6" customHeight="1" x14ac:dyDescent="0.35">
      <c r="A68" s="313"/>
      <c r="D68" s="215"/>
      <c r="F68" s="213"/>
      <c r="G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T68" s="214"/>
      <c r="AU68" s="214"/>
    </row>
    <row r="69" spans="1:47" s="152" customFormat="1" ht="15" customHeight="1" x14ac:dyDescent="0.35">
      <c r="A69" s="313">
        <f>MAX($A$7:A67)+1</f>
        <v>29</v>
      </c>
      <c r="D69" s="215" t="s">
        <v>66</v>
      </c>
      <c r="E69" s="313" t="s">
        <v>575</v>
      </c>
      <c r="F69" s="213" t="str">
        <f>"["&amp;A69&amp;"]"</f>
        <v>[29]</v>
      </c>
      <c r="G69" s="313" t="s">
        <v>39</v>
      </c>
      <c r="I69" s="276">
        <f t="shared" ref="I69:AG69" si="7">IF(I$41&lt;=$I$14,IF(I$41&lt;=$J$60, $K$60, $M$60*(1+$I$25)^(I$41-1)),0)</f>
        <v>429.90629685024368</v>
      </c>
      <c r="J69" s="276">
        <f t="shared" si="7"/>
        <v>429.90629685024368</v>
      </c>
      <c r="K69" s="276">
        <f t="shared" si="7"/>
        <v>429.90629685024368</v>
      </c>
      <c r="L69" s="276">
        <f t="shared" si="7"/>
        <v>239.04043193335798</v>
      </c>
      <c r="M69" s="276">
        <f t="shared" si="7"/>
        <v>239.04043193335798</v>
      </c>
      <c r="N69" s="276">
        <f t="shared" si="7"/>
        <v>239.04043193335798</v>
      </c>
      <c r="O69" s="276">
        <f t="shared" si="7"/>
        <v>239.04043193335798</v>
      </c>
      <c r="P69" s="276">
        <f t="shared" si="7"/>
        <v>239.04043193335798</v>
      </c>
      <c r="Q69" s="276">
        <f t="shared" si="7"/>
        <v>239.04043193335798</v>
      </c>
      <c r="R69" s="276">
        <f t="shared" si="7"/>
        <v>239.04043193335798</v>
      </c>
      <c r="S69" s="276">
        <f t="shared" si="7"/>
        <v>239.04043193335798</v>
      </c>
      <c r="T69" s="276">
        <f t="shared" si="7"/>
        <v>239.04043193335798</v>
      </c>
      <c r="U69" s="276">
        <f t="shared" si="7"/>
        <v>239.04043193335798</v>
      </c>
      <c r="V69" s="276">
        <f t="shared" si="7"/>
        <v>239.04043193335798</v>
      </c>
      <c r="W69" s="276">
        <f t="shared" si="7"/>
        <v>239.04043193335798</v>
      </c>
      <c r="X69" s="276">
        <f t="shared" si="7"/>
        <v>239.04043193335798</v>
      </c>
      <c r="Y69" s="276">
        <f t="shared" si="7"/>
        <v>239.04043193335798</v>
      </c>
      <c r="Z69" s="276">
        <f t="shared" si="7"/>
        <v>239.04043193335798</v>
      </c>
      <c r="AA69" s="276">
        <f t="shared" si="7"/>
        <v>239.04043193335798</v>
      </c>
      <c r="AB69" s="276">
        <f t="shared" si="7"/>
        <v>239.04043193335798</v>
      </c>
      <c r="AC69" s="276">
        <f t="shared" si="7"/>
        <v>0</v>
      </c>
      <c r="AD69" s="276">
        <f t="shared" si="7"/>
        <v>0</v>
      </c>
      <c r="AE69" s="276">
        <f t="shared" si="7"/>
        <v>0</v>
      </c>
      <c r="AF69" s="276">
        <f t="shared" si="7"/>
        <v>0</v>
      </c>
      <c r="AG69" s="276">
        <f t="shared" si="7"/>
        <v>0</v>
      </c>
      <c r="AH69" s="153"/>
      <c r="AI69" s="153"/>
      <c r="AJ69" s="153"/>
      <c r="AK69" s="153"/>
      <c r="AL69" s="153"/>
      <c r="AM69" s="153"/>
      <c r="AN69" s="153"/>
      <c r="AO69" s="153"/>
      <c r="AP69" s="153"/>
      <c r="AQ69" s="153"/>
      <c r="AT69" s="214"/>
      <c r="AU69" s="214"/>
    </row>
    <row r="70" spans="1:47" s="152" customFormat="1" ht="15" customHeight="1" x14ac:dyDescent="0.35">
      <c r="A70" s="313">
        <f>MAX($A$7:A69)+1</f>
        <v>30</v>
      </c>
      <c r="D70" s="223" t="s">
        <v>66</v>
      </c>
      <c r="E70" s="1824" t="s">
        <v>259</v>
      </c>
      <c r="F70" s="224" t="str">
        <f>"["&amp;A70&amp;"]"</f>
        <v>[30]</v>
      </c>
      <c r="G70" s="2129" t="s">
        <v>39</v>
      </c>
      <c r="H70" s="161"/>
      <c r="I70" s="164">
        <f t="shared" ref="I70:AG70" si="8">$I$13*I$69*1000</f>
        <v>548622341.28765738</v>
      </c>
      <c r="J70" s="165">
        <f t="shared" si="8"/>
        <v>548622341.28765738</v>
      </c>
      <c r="K70" s="165">
        <f t="shared" si="8"/>
        <v>548622341.28765738</v>
      </c>
      <c r="L70" s="165">
        <f t="shared" si="8"/>
        <v>305050012.96916318</v>
      </c>
      <c r="M70" s="165">
        <f t="shared" si="8"/>
        <v>305050012.96916318</v>
      </c>
      <c r="N70" s="165">
        <f t="shared" si="8"/>
        <v>305050012.96916318</v>
      </c>
      <c r="O70" s="165">
        <f t="shared" si="8"/>
        <v>305050012.96916318</v>
      </c>
      <c r="P70" s="165">
        <f t="shared" si="8"/>
        <v>305050012.96916318</v>
      </c>
      <c r="Q70" s="165">
        <f t="shared" si="8"/>
        <v>305050012.96916318</v>
      </c>
      <c r="R70" s="165">
        <f t="shared" si="8"/>
        <v>305050012.96916318</v>
      </c>
      <c r="S70" s="165">
        <f t="shared" si="8"/>
        <v>305050012.96916318</v>
      </c>
      <c r="T70" s="165">
        <f t="shared" si="8"/>
        <v>305050012.96916318</v>
      </c>
      <c r="U70" s="165">
        <f t="shared" si="8"/>
        <v>305050012.96916318</v>
      </c>
      <c r="V70" s="165">
        <f t="shared" si="8"/>
        <v>305050012.96916318</v>
      </c>
      <c r="W70" s="165">
        <f t="shared" si="8"/>
        <v>305050012.96916318</v>
      </c>
      <c r="X70" s="165">
        <f t="shared" si="8"/>
        <v>305050012.96916318</v>
      </c>
      <c r="Y70" s="165">
        <f t="shared" si="8"/>
        <v>305050012.96916318</v>
      </c>
      <c r="Z70" s="165">
        <f t="shared" si="8"/>
        <v>305050012.96916318</v>
      </c>
      <c r="AA70" s="165">
        <f t="shared" si="8"/>
        <v>305050012.96916318</v>
      </c>
      <c r="AB70" s="165">
        <f t="shared" si="8"/>
        <v>305050012.96916318</v>
      </c>
      <c r="AC70" s="165">
        <f t="shared" si="8"/>
        <v>0</v>
      </c>
      <c r="AD70" s="165">
        <f t="shared" si="8"/>
        <v>0</v>
      </c>
      <c r="AE70" s="165">
        <f t="shared" si="8"/>
        <v>0</v>
      </c>
      <c r="AF70" s="165">
        <f t="shared" si="8"/>
        <v>0</v>
      </c>
      <c r="AG70" s="165">
        <f t="shared" si="8"/>
        <v>0</v>
      </c>
      <c r="AH70" s="165"/>
      <c r="AI70" s="165"/>
      <c r="AJ70" s="165"/>
      <c r="AK70" s="165"/>
      <c r="AL70" s="165"/>
      <c r="AM70" s="165"/>
      <c r="AN70" s="165"/>
      <c r="AO70" s="165"/>
      <c r="AP70" s="165"/>
      <c r="AQ70" s="165"/>
      <c r="AT70" s="214"/>
      <c r="AU70" s="214"/>
    </row>
    <row r="71" spans="1:47" s="152" customFormat="1" ht="6" customHeight="1" x14ac:dyDescent="0.35">
      <c r="D71" s="215"/>
      <c r="E71" s="313"/>
      <c r="F71" s="213"/>
      <c r="G71" s="313"/>
      <c r="I71" s="153"/>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T71" s="214"/>
      <c r="AU71" s="214"/>
    </row>
    <row r="72" spans="1:47" s="152" customFormat="1" ht="15" customHeight="1" x14ac:dyDescent="0.35">
      <c r="A72" s="313">
        <f>MAX($A$7:A71)+1</f>
        <v>31</v>
      </c>
      <c r="D72" s="223" t="s">
        <v>63</v>
      </c>
      <c r="E72" s="1824" t="s">
        <v>259</v>
      </c>
      <c r="F72" s="224" t="str">
        <f t="shared" ref="F72:F80" si="9">"["&amp;A72&amp;"]"</f>
        <v>[31]</v>
      </c>
      <c r="G72" s="2129" t="str">
        <f>$F$42</f>
        <v>[24]</v>
      </c>
      <c r="H72" s="161"/>
      <c r="I72" s="164">
        <f ca="1">I$42</f>
        <v>65380643.227225207</v>
      </c>
      <c r="J72" s="164">
        <f t="shared" ref="J72:AG72" ca="1" si="10">J$42</f>
        <v>66367396.849890463</v>
      </c>
      <c r="K72" s="164">
        <f t="shared" ca="1" si="10"/>
        <v>67389881.595332026</v>
      </c>
      <c r="L72" s="164">
        <f t="shared" ca="1" si="10"/>
        <v>68441773.281798959</v>
      </c>
      <c r="M72" s="164">
        <f t="shared" ca="1" si="10"/>
        <v>69546184.792847499</v>
      </c>
      <c r="N72" s="164">
        <f t="shared" ca="1" si="10"/>
        <v>70694579.361424267</v>
      </c>
      <c r="O72" s="164">
        <f t="shared" ca="1" si="10"/>
        <v>71878049.586947098</v>
      </c>
      <c r="P72" s="164">
        <f t="shared" ca="1" si="10"/>
        <v>73118402.845152423</v>
      </c>
      <c r="Q72" s="164">
        <f t="shared" ca="1" si="10"/>
        <v>74406477.860244691</v>
      </c>
      <c r="R72" s="164">
        <f t="shared" ca="1" si="10"/>
        <v>75733087.27012299</v>
      </c>
      <c r="S72" s="164">
        <f t="shared" ca="1" si="10"/>
        <v>77119951.93884401</v>
      </c>
      <c r="T72" s="164">
        <f t="shared" ca="1" si="10"/>
        <v>78557920.045972005</v>
      </c>
      <c r="U72" s="164">
        <f t="shared" ca="1" si="10"/>
        <v>80037873.182365447</v>
      </c>
      <c r="V72" s="164">
        <f t="shared" ca="1" si="10"/>
        <v>81581619.934395164</v>
      </c>
      <c r="W72" s="164">
        <f t="shared" ca="1" si="10"/>
        <v>83180117.512040675</v>
      </c>
      <c r="X72" s="164">
        <f t="shared" ca="1" si="10"/>
        <v>84828776.649540082</v>
      </c>
      <c r="Y72" s="164">
        <f t="shared" ca="1" si="10"/>
        <v>86537395.734759837</v>
      </c>
      <c r="Z72" s="164">
        <f t="shared" ca="1" si="10"/>
        <v>88304778.618276954</v>
      </c>
      <c r="AA72" s="164">
        <f t="shared" ca="1" si="10"/>
        <v>90127570.254356951</v>
      </c>
      <c r="AB72" s="164">
        <f t="shared" ca="1" si="10"/>
        <v>92020114.051160619</v>
      </c>
      <c r="AC72" s="164">
        <f t="shared" si="10"/>
        <v>0</v>
      </c>
      <c r="AD72" s="164">
        <f t="shared" si="10"/>
        <v>0</v>
      </c>
      <c r="AE72" s="164">
        <f t="shared" si="10"/>
        <v>0</v>
      </c>
      <c r="AF72" s="164">
        <f t="shared" si="10"/>
        <v>0</v>
      </c>
      <c r="AG72" s="164">
        <f t="shared" si="10"/>
        <v>0</v>
      </c>
      <c r="AH72" s="164"/>
      <c r="AI72" s="164"/>
      <c r="AJ72" s="164"/>
      <c r="AK72" s="164"/>
      <c r="AL72" s="164"/>
      <c r="AM72" s="164"/>
      <c r="AN72" s="164"/>
      <c r="AO72" s="164"/>
      <c r="AP72" s="164"/>
      <c r="AQ72" s="164"/>
      <c r="AT72" s="214"/>
      <c r="AU72" s="214"/>
    </row>
    <row r="73" spans="1:47" s="152" customFormat="1" ht="6" customHeight="1" x14ac:dyDescent="0.35">
      <c r="D73" s="215"/>
      <c r="E73" s="313"/>
      <c r="F73" s="213"/>
      <c r="G73" s="313"/>
      <c r="I73" s="153"/>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T73" s="214"/>
      <c r="AU73" s="214"/>
    </row>
    <row r="74" spans="1:47" s="152" customFormat="1" ht="15" customHeight="1" x14ac:dyDescent="0.35">
      <c r="A74" s="313">
        <f>MAX($A$7:A73)+1</f>
        <v>32</v>
      </c>
      <c r="D74" s="215" t="s">
        <v>62</v>
      </c>
      <c r="E74" s="313" t="s">
        <v>259</v>
      </c>
      <c r="F74" s="213" t="str">
        <f t="shared" si="9"/>
        <v>[32]</v>
      </c>
      <c r="G74" s="313" t="str">
        <f>$F$45</f>
        <v>[27]</v>
      </c>
      <c r="I74" s="153">
        <f>I$45</f>
        <v>91949088.872505456</v>
      </c>
      <c r="J74" s="153">
        <f t="shared" ref="J74:AG74" si="11">J$45</f>
        <v>140198824.07437479</v>
      </c>
      <c r="K74" s="153">
        <f t="shared" si="11"/>
        <v>129685873.64014634</v>
      </c>
      <c r="L74" s="153">
        <f t="shared" si="11"/>
        <v>119957471.74578571</v>
      </c>
      <c r="M74" s="153">
        <f t="shared" si="11"/>
        <v>110974390.96429947</v>
      </c>
      <c r="N74" s="153">
        <f t="shared" si="11"/>
        <v>102638562.72820415</v>
      </c>
      <c r="O74" s="153">
        <f t="shared" si="11"/>
        <v>94949987.037499771</v>
      </c>
      <c r="P74" s="153">
        <f t="shared" si="11"/>
        <v>87830209.038199544</v>
      </c>
      <c r="Q74" s="153">
        <f t="shared" si="11"/>
        <v>87536003.33574912</v>
      </c>
      <c r="R74" s="153">
        <f t="shared" si="11"/>
        <v>87536003.33574912</v>
      </c>
      <c r="S74" s="153">
        <f t="shared" si="11"/>
        <v>87536003.33574912</v>
      </c>
      <c r="T74" s="153">
        <f t="shared" si="11"/>
        <v>87536003.33574912</v>
      </c>
      <c r="U74" s="153">
        <f t="shared" si="11"/>
        <v>87536003.33574912</v>
      </c>
      <c r="V74" s="153">
        <f t="shared" si="11"/>
        <v>87536003.33574912</v>
      </c>
      <c r="W74" s="153">
        <f t="shared" si="11"/>
        <v>87516389.62225242</v>
      </c>
      <c r="X74" s="153">
        <f t="shared" si="11"/>
        <v>87536003.33574912</v>
      </c>
      <c r="Y74" s="153">
        <f t="shared" si="11"/>
        <v>87516389.62225242</v>
      </c>
      <c r="Z74" s="153">
        <f t="shared" si="11"/>
        <v>87536003.33574912</v>
      </c>
      <c r="AA74" s="153">
        <f t="shared" si="11"/>
        <v>87516389.62225242</v>
      </c>
      <c r="AB74" s="153">
        <f t="shared" si="11"/>
        <v>87536003.33574912</v>
      </c>
      <c r="AC74" s="153">
        <f t="shared" si="11"/>
        <v>32813742.679970488</v>
      </c>
      <c r="AD74" s="153">
        <f t="shared" si="11"/>
        <v>0</v>
      </c>
      <c r="AE74" s="153">
        <f t="shared" si="11"/>
        <v>0</v>
      </c>
      <c r="AF74" s="153">
        <f t="shared" si="11"/>
        <v>0</v>
      </c>
      <c r="AG74" s="153">
        <f t="shared" si="11"/>
        <v>0</v>
      </c>
      <c r="AH74" s="153"/>
      <c r="AI74" s="153"/>
      <c r="AJ74" s="153"/>
      <c r="AK74" s="153"/>
      <c r="AL74" s="153"/>
      <c r="AM74" s="153"/>
      <c r="AN74" s="153"/>
      <c r="AO74" s="153"/>
      <c r="AP74" s="153"/>
      <c r="AQ74" s="153"/>
      <c r="AT74" s="214"/>
      <c r="AU74" s="214"/>
    </row>
    <row r="75" spans="1:47" s="152" customFormat="1" ht="15" customHeight="1" x14ac:dyDescent="0.35">
      <c r="A75" s="313">
        <f>MAX($A$7:A74)+1</f>
        <v>33</v>
      </c>
      <c r="D75" s="223" t="s">
        <v>254</v>
      </c>
      <c r="E75" s="1824" t="s">
        <v>259</v>
      </c>
      <c r="F75" s="224" t="str">
        <f t="shared" si="9"/>
        <v>[33]</v>
      </c>
      <c r="G75" s="2129" t="s">
        <v>39</v>
      </c>
      <c r="H75" s="161"/>
      <c r="I75" s="164">
        <f t="shared" ref="I75:AG75" ca="1" si="12">$I$27*(I$70-I$72-I$74)</f>
        <v>106870228.71401575</v>
      </c>
      <c r="J75" s="165">
        <f t="shared" ca="1" si="12"/>
        <v>93422709.649770021</v>
      </c>
      <c r="K75" s="165">
        <f t="shared" ca="1" si="12"/>
        <v>96014755.129157171</v>
      </c>
      <c r="L75" s="165">
        <f t="shared" ca="1" si="12"/>
        <v>31859774.390971866</v>
      </c>
      <c r="M75" s="165">
        <f t="shared" ca="1" si="12"/>
        <v>34011604.420783073</v>
      </c>
      <c r="N75" s="165">
        <f t="shared" ca="1" si="12"/>
        <v>35974643.491489418</v>
      </c>
      <c r="O75" s="165">
        <f t="shared" ca="1" si="12"/>
        <v>37751324.401245266</v>
      </c>
      <c r="P75" s="165">
        <f t="shared" ca="1" si="12"/>
        <v>39357118.76595784</v>
      </c>
      <c r="Q75" s="165">
        <f t="shared" ca="1" si="12"/>
        <v>39085672.18541979</v>
      </c>
      <c r="R75" s="165">
        <f t="shared" ca="1" si="12"/>
        <v>38723347.296784416</v>
      </c>
      <c r="S75" s="165">
        <f t="shared" ca="1" si="12"/>
        <v>38344565.431598663</v>
      </c>
      <c r="T75" s="165">
        <f t="shared" ca="1" si="12"/>
        <v>37951826.144211769</v>
      </c>
      <c r="U75" s="165">
        <f t="shared" ca="1" si="12"/>
        <v>37547619.86364685</v>
      </c>
      <c r="V75" s="165">
        <f t="shared" ca="1" si="12"/>
        <v>37125990.206985742</v>
      </c>
      <c r="W75" s="165">
        <f t="shared" ca="1" si="12"/>
        <v>36694763.867125556</v>
      </c>
      <c r="X75" s="165">
        <f t="shared" ca="1" si="12"/>
        <v>36239123.517788649</v>
      </c>
      <c r="Y75" s="165">
        <f t="shared" ca="1" si="12"/>
        <v>35777820.681658275</v>
      </c>
      <c r="Z75" s="165">
        <f t="shared" ca="1" si="12"/>
        <v>35289754.38408526</v>
      </c>
      <c r="AA75" s="165">
        <f t="shared" ca="1" si="12"/>
        <v>34797268.626691386</v>
      </c>
      <c r="AB75" s="165">
        <f t="shared" ca="1" si="12"/>
        <v>34275018.255320638</v>
      </c>
      <c r="AC75" s="165">
        <f t="shared" si="12"/>
        <v>-8962122.2144962195</v>
      </c>
      <c r="AD75" s="165">
        <f t="shared" si="12"/>
        <v>0</v>
      </c>
      <c r="AE75" s="165">
        <f t="shared" si="12"/>
        <v>0</v>
      </c>
      <c r="AF75" s="165">
        <f t="shared" si="12"/>
        <v>0</v>
      </c>
      <c r="AG75" s="165">
        <f t="shared" si="12"/>
        <v>0</v>
      </c>
      <c r="AH75" s="165"/>
      <c r="AI75" s="165"/>
      <c r="AJ75" s="165"/>
      <c r="AK75" s="165"/>
      <c r="AL75" s="165"/>
      <c r="AM75" s="165"/>
      <c r="AN75" s="165"/>
      <c r="AO75" s="165"/>
      <c r="AP75" s="165"/>
      <c r="AQ75" s="165"/>
      <c r="AT75" s="214"/>
      <c r="AU75" s="214"/>
    </row>
    <row r="76" spans="1:47" s="152" customFormat="1" ht="6" customHeight="1" x14ac:dyDescent="0.35">
      <c r="A76" s="313"/>
      <c r="D76" s="223"/>
      <c r="E76" s="1824"/>
      <c r="F76" s="224"/>
      <c r="G76" s="2129"/>
      <c r="H76" s="161"/>
      <c r="I76" s="164"/>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T76" s="214"/>
      <c r="AU76" s="214"/>
    </row>
    <row r="77" spans="1:47" s="152" customFormat="1" ht="15" customHeight="1" x14ac:dyDescent="0.35">
      <c r="A77" s="313">
        <f>MAX($A$7:A76)+1</f>
        <v>34</v>
      </c>
      <c r="D77" s="215" t="s">
        <v>237</v>
      </c>
      <c r="E77" s="313" t="s">
        <v>259</v>
      </c>
      <c r="F77" s="213" t="str">
        <f>"["&amp;A77&amp;"]"</f>
        <v>[34]</v>
      </c>
      <c r="G77" s="313" t="s">
        <v>39</v>
      </c>
      <c r="H77" s="161"/>
      <c r="I77" s="153">
        <f>IF(AND(I$41=1, $I$11=Control!$K$10), $I$35, 0)</f>
        <v>0</v>
      </c>
      <c r="J77" s="153">
        <f>IF(AND(J$41=1, $I$11=Control!$K$10), $I$35, 0)</f>
        <v>0</v>
      </c>
      <c r="K77" s="153">
        <f>IF(AND(K$41=1, $I$11=Control!$K$10), $I$35, 0)</f>
        <v>0</v>
      </c>
      <c r="L77" s="153">
        <f>IF(AND(L$41=1, $I$11=Control!$K$10), $I$35, 0)</f>
        <v>0</v>
      </c>
      <c r="M77" s="153">
        <f>IF(AND(M$41=1, $I$11=Control!$K$10), $I$35, 0)</f>
        <v>0</v>
      </c>
      <c r="N77" s="153">
        <f>IF(AND(N$41=1, $I$11=Control!$K$10), $I$35, 0)</f>
        <v>0</v>
      </c>
      <c r="O77" s="153">
        <f>IF(AND(O$41=1, $I$11=Control!$K$10), $I$35, 0)</f>
        <v>0</v>
      </c>
      <c r="P77" s="153">
        <f>IF(AND(P$41=1, $I$11=Control!$K$10), $I$35, 0)</f>
        <v>0</v>
      </c>
      <c r="Q77" s="153">
        <f>IF(AND(Q$41=1, $I$11=Control!$K$10), $I$35, 0)</f>
        <v>0</v>
      </c>
      <c r="R77" s="153">
        <f>IF(AND(R$41=1, $I$11=Control!$K$10), $I$35, 0)</f>
        <v>0</v>
      </c>
      <c r="S77" s="153">
        <f>IF(AND(S$41=1, $I$11=Control!$K$10), $I$35, 0)</f>
        <v>0</v>
      </c>
      <c r="T77" s="153">
        <f>IF(AND(T$41=1, $I$11=Control!$K$10), $I$35, 0)</f>
        <v>0</v>
      </c>
      <c r="U77" s="153">
        <f>IF(AND(U$41=1, $I$11=Control!$K$10), $I$35, 0)</f>
        <v>0</v>
      </c>
      <c r="V77" s="153">
        <f>IF(AND(V$41=1, $I$11=Control!$K$10), $I$35, 0)</f>
        <v>0</v>
      </c>
      <c r="W77" s="153">
        <f>IF(AND(W$41=1, $I$11=Control!$K$10), $I$35, 0)</f>
        <v>0</v>
      </c>
      <c r="X77" s="153">
        <f>IF(AND(X$41=1, $I$11=Control!$K$10), $I$35, 0)</f>
        <v>0</v>
      </c>
      <c r="Y77" s="153">
        <f>IF(AND(Y$41=1, $I$11=Control!$K$10), $I$35, 0)</f>
        <v>0</v>
      </c>
      <c r="Z77" s="153">
        <f>IF(AND(Z$41=1, $I$11=Control!$K$10), $I$35, 0)</f>
        <v>0</v>
      </c>
      <c r="AA77" s="153">
        <f>IF(AND(AA$41=1, $I$11=Control!$K$10), $I$35, 0)</f>
        <v>0</v>
      </c>
      <c r="AB77" s="153">
        <f>IF(AND(AB$41=1, $I$11=Control!$K$10), $I$35, 0)</f>
        <v>0</v>
      </c>
      <c r="AC77" s="153">
        <f>IF(AND(AC$41=1, $I$11=Control!$K$10), $I$35, 0)</f>
        <v>0</v>
      </c>
      <c r="AD77" s="153">
        <f>IF(AND(AD$41=1, $I$11=Control!$K$10), $I$35, 0)</f>
        <v>0</v>
      </c>
      <c r="AE77" s="153">
        <f>IF(AND(AE$41=1, $I$11=Control!$K$10), $I$35, 0)</f>
        <v>0</v>
      </c>
      <c r="AF77" s="153">
        <f>IF(AND(AF$41=1, $I$11=Control!$K$10), $I$35, 0)</f>
        <v>0</v>
      </c>
      <c r="AG77" s="153">
        <f>IF(AND(AG$41=1, $I$11=Control!$K$10), $I$35, 0)</f>
        <v>0</v>
      </c>
      <c r="AH77" s="153"/>
      <c r="AI77" s="153"/>
      <c r="AJ77" s="153"/>
      <c r="AK77" s="153"/>
      <c r="AL77" s="153"/>
      <c r="AM77" s="153"/>
      <c r="AN77" s="153"/>
      <c r="AO77" s="153"/>
      <c r="AP77" s="153"/>
      <c r="AQ77" s="153"/>
      <c r="AT77" s="214"/>
      <c r="AU77" s="214"/>
    </row>
    <row r="78" spans="1:47" s="152" customFormat="1" ht="15" customHeight="1" x14ac:dyDescent="0.35">
      <c r="A78" s="313">
        <f>MAX($A$7:A77)+1</f>
        <v>35</v>
      </c>
      <c r="D78" s="223" t="s">
        <v>181</v>
      </c>
      <c r="E78" s="1824" t="s">
        <v>259</v>
      </c>
      <c r="F78" s="224" t="str">
        <f>"["&amp;A78&amp;"]"</f>
        <v>[35]</v>
      </c>
      <c r="G78" s="2129" t="str">
        <f>$F$75&amp;" - "&amp;$F$77</f>
        <v>[33] - [34]</v>
      </c>
      <c r="H78" s="161"/>
      <c r="I78" s="164">
        <f ca="1">I$75-I77</f>
        <v>106870228.71401575</v>
      </c>
      <c r="J78" s="164">
        <f t="shared" ref="J78:AG78" ca="1" si="13">J$75-J77</f>
        <v>93422709.649770021</v>
      </c>
      <c r="K78" s="164">
        <f t="shared" ca="1" si="13"/>
        <v>96014755.129157171</v>
      </c>
      <c r="L78" s="164">
        <f t="shared" ca="1" si="13"/>
        <v>31859774.390971866</v>
      </c>
      <c r="M78" s="164">
        <f t="shared" ca="1" si="13"/>
        <v>34011604.420783073</v>
      </c>
      <c r="N78" s="164">
        <f t="shared" ca="1" si="13"/>
        <v>35974643.491489418</v>
      </c>
      <c r="O78" s="164">
        <f t="shared" ca="1" si="13"/>
        <v>37751324.401245266</v>
      </c>
      <c r="P78" s="164">
        <f t="shared" ca="1" si="13"/>
        <v>39357118.76595784</v>
      </c>
      <c r="Q78" s="164">
        <f t="shared" ca="1" si="13"/>
        <v>39085672.18541979</v>
      </c>
      <c r="R78" s="164">
        <f t="shared" ca="1" si="13"/>
        <v>38723347.296784416</v>
      </c>
      <c r="S78" s="164">
        <f t="shared" ca="1" si="13"/>
        <v>38344565.431598663</v>
      </c>
      <c r="T78" s="164">
        <f t="shared" ca="1" si="13"/>
        <v>37951826.144211769</v>
      </c>
      <c r="U78" s="164">
        <f t="shared" ca="1" si="13"/>
        <v>37547619.86364685</v>
      </c>
      <c r="V78" s="164">
        <f t="shared" ca="1" si="13"/>
        <v>37125990.206985742</v>
      </c>
      <c r="W78" s="164">
        <f t="shared" ca="1" si="13"/>
        <v>36694763.867125556</v>
      </c>
      <c r="X78" s="164">
        <f t="shared" ca="1" si="13"/>
        <v>36239123.517788649</v>
      </c>
      <c r="Y78" s="164">
        <f t="shared" ca="1" si="13"/>
        <v>35777820.681658275</v>
      </c>
      <c r="Z78" s="164">
        <f t="shared" ca="1" si="13"/>
        <v>35289754.38408526</v>
      </c>
      <c r="AA78" s="164">
        <f t="shared" ca="1" si="13"/>
        <v>34797268.626691386</v>
      </c>
      <c r="AB78" s="164">
        <f t="shared" ca="1" si="13"/>
        <v>34275018.255320638</v>
      </c>
      <c r="AC78" s="164">
        <f t="shared" si="13"/>
        <v>-8962122.2144962195</v>
      </c>
      <c r="AD78" s="164">
        <f t="shared" si="13"/>
        <v>0</v>
      </c>
      <c r="AE78" s="164">
        <f t="shared" si="13"/>
        <v>0</v>
      </c>
      <c r="AF78" s="164">
        <f t="shared" si="13"/>
        <v>0</v>
      </c>
      <c r="AG78" s="164">
        <f t="shared" si="13"/>
        <v>0</v>
      </c>
      <c r="AH78" s="164"/>
      <c r="AI78" s="164"/>
      <c r="AJ78" s="164"/>
      <c r="AK78" s="164"/>
      <c r="AL78" s="164"/>
      <c r="AM78" s="164"/>
      <c r="AN78" s="164"/>
      <c r="AO78" s="164"/>
      <c r="AP78" s="164"/>
      <c r="AQ78" s="164"/>
      <c r="AT78" s="214"/>
      <c r="AU78" s="214"/>
    </row>
    <row r="79" spans="1:47" s="152" customFormat="1" ht="6" customHeight="1" x14ac:dyDescent="0.35">
      <c r="D79" s="215"/>
      <c r="E79" s="313"/>
      <c r="F79" s="213"/>
      <c r="G79" s="313"/>
      <c r="I79" s="153"/>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T79" s="214"/>
      <c r="AU79" s="214"/>
    </row>
    <row r="80" spans="1:47" s="152" customFormat="1" ht="15" customHeight="1" x14ac:dyDescent="0.35">
      <c r="A80" s="313">
        <f>MAX($A$7:A79)+1</f>
        <v>36</v>
      </c>
      <c r="D80" s="215" t="s">
        <v>67</v>
      </c>
      <c r="E80" s="313" t="s">
        <v>259</v>
      </c>
      <c r="F80" s="213" t="str">
        <f t="shared" si="9"/>
        <v>[36]</v>
      </c>
      <c r="G80" s="313" t="str">
        <f>$F$70&amp;" - "&amp;$F$72&amp;" - "&amp;$F$78</f>
        <v>[30] - [31] - [35]</v>
      </c>
      <c r="I80" s="153">
        <f t="shared" ref="I80:AG80" ca="1" si="14">I$70-I$72-I$78</f>
        <v>376371469.34641647</v>
      </c>
      <c r="J80" s="153">
        <f t="shared" ca="1" si="14"/>
        <v>388832234.78799689</v>
      </c>
      <c r="K80" s="153">
        <f t="shared" ca="1" si="14"/>
        <v>385217704.56316817</v>
      </c>
      <c r="L80" s="153">
        <f t="shared" ca="1" si="14"/>
        <v>204748465.29639235</v>
      </c>
      <c r="M80" s="153">
        <f t="shared" ca="1" si="14"/>
        <v>201492223.75553259</v>
      </c>
      <c r="N80" s="153">
        <f t="shared" ca="1" si="14"/>
        <v>198380790.1162495</v>
      </c>
      <c r="O80" s="153">
        <f t="shared" ca="1" si="14"/>
        <v>195420638.98097083</v>
      </c>
      <c r="P80" s="153">
        <f t="shared" ca="1" si="14"/>
        <v>192574491.35805291</v>
      </c>
      <c r="Q80" s="153">
        <f t="shared" ca="1" si="14"/>
        <v>191557862.92349869</v>
      </c>
      <c r="R80" s="153">
        <f t="shared" ca="1" si="14"/>
        <v>190593578.40225577</v>
      </c>
      <c r="S80" s="153">
        <f t="shared" ca="1" si="14"/>
        <v>189585495.59872049</v>
      </c>
      <c r="T80" s="153">
        <f t="shared" ca="1" si="14"/>
        <v>188540266.77897942</v>
      </c>
      <c r="U80" s="153">
        <f t="shared" ca="1" si="14"/>
        <v>187464519.9231509</v>
      </c>
      <c r="V80" s="153">
        <f t="shared" ca="1" si="14"/>
        <v>186342402.82778227</v>
      </c>
      <c r="W80" s="153">
        <f t="shared" ca="1" si="14"/>
        <v>185175131.58999693</v>
      </c>
      <c r="X80" s="153">
        <f t="shared" ca="1" si="14"/>
        <v>183982112.80183446</v>
      </c>
      <c r="Y80" s="153">
        <f t="shared" ca="1" si="14"/>
        <v>182734796.55274507</v>
      </c>
      <c r="Z80" s="153">
        <f t="shared" ca="1" si="14"/>
        <v>181455479.96680096</v>
      </c>
      <c r="AA80" s="153">
        <f t="shared" ca="1" si="14"/>
        <v>180125174.08811486</v>
      </c>
      <c r="AB80" s="153">
        <f t="shared" ca="1" si="14"/>
        <v>178754880.66268191</v>
      </c>
      <c r="AC80" s="153">
        <f t="shared" si="14"/>
        <v>8962122.2144962195</v>
      </c>
      <c r="AD80" s="153">
        <f t="shared" si="14"/>
        <v>0</v>
      </c>
      <c r="AE80" s="153">
        <f t="shared" si="14"/>
        <v>0</v>
      </c>
      <c r="AF80" s="153">
        <f t="shared" si="14"/>
        <v>0</v>
      </c>
      <c r="AG80" s="153">
        <f t="shared" si="14"/>
        <v>0</v>
      </c>
      <c r="AH80" s="153"/>
      <c r="AI80" s="153"/>
      <c r="AJ80" s="153"/>
      <c r="AK80" s="153"/>
      <c r="AL80" s="153"/>
      <c r="AM80" s="153"/>
      <c r="AN80" s="153"/>
      <c r="AO80" s="153"/>
      <c r="AP80" s="153"/>
      <c r="AQ80" s="153"/>
      <c r="AT80" s="214"/>
      <c r="AU80" s="214"/>
    </row>
    <row r="81" spans="1:47" s="152" customFormat="1" ht="6" customHeight="1" x14ac:dyDescent="0.35">
      <c r="D81" s="159"/>
      <c r="E81" s="159"/>
      <c r="F81" s="221"/>
      <c r="G81" s="159"/>
      <c r="H81" s="155"/>
      <c r="I81" s="159"/>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204"/>
      <c r="AI81" s="204"/>
      <c r="AJ81" s="204"/>
      <c r="AK81" s="204"/>
      <c r="AL81" s="204"/>
      <c r="AM81" s="204"/>
      <c r="AN81" s="204"/>
      <c r="AO81" s="204"/>
      <c r="AP81" s="204"/>
      <c r="AQ81" s="204"/>
      <c r="AT81" s="214"/>
      <c r="AU81" s="214"/>
    </row>
    <row r="82" spans="1:47" s="152" customFormat="1" ht="6" customHeight="1" x14ac:dyDescent="0.35">
      <c r="D82" s="313"/>
      <c r="E82" s="313"/>
      <c r="F82" s="213"/>
      <c r="G82" s="313"/>
      <c r="I82" s="313"/>
      <c r="AT82" s="214"/>
      <c r="AU82" s="214"/>
    </row>
    <row r="83" spans="1:47" s="152" customFormat="1" ht="15" customHeight="1" x14ac:dyDescent="0.35">
      <c r="D83" s="1824" t="s">
        <v>68</v>
      </c>
      <c r="E83" s="313"/>
      <c r="G83" s="313"/>
      <c r="I83" s="153"/>
      <c r="J83" s="156"/>
      <c r="K83" s="156"/>
      <c r="L83" s="156"/>
      <c r="M83" s="156"/>
      <c r="AT83" s="214"/>
      <c r="AU83" s="214"/>
    </row>
    <row r="84" spans="1:47" s="152" customFormat="1" ht="15" customHeight="1" x14ac:dyDescent="0.35">
      <c r="A84" s="313">
        <f>MAX($A$7:A83)+1</f>
        <v>37</v>
      </c>
      <c r="D84" s="216" t="s">
        <v>69</v>
      </c>
      <c r="E84" s="313" t="s">
        <v>259</v>
      </c>
      <c r="F84" s="213" t="str">
        <f>"["&amp;A84&amp;"]"</f>
        <v>[37]</v>
      </c>
      <c r="G84" s="313" t="s">
        <v>39</v>
      </c>
      <c r="H84" s="153">
        <f ca="1">NPV($I$26, $I$80:$AG$80)*(1+$I$26)^0.5</f>
        <v>2274717115.9206038</v>
      </c>
      <c r="J84" s="156"/>
      <c r="AT84" s="214"/>
      <c r="AU84" s="214"/>
    </row>
    <row r="85" spans="1:47" s="152" customFormat="1" ht="15" customHeight="1" x14ac:dyDescent="0.35">
      <c r="A85" s="313">
        <f>MAX($A$7:A84)+1</f>
        <v>38</v>
      </c>
      <c r="D85" s="215" t="s">
        <v>7</v>
      </c>
      <c r="E85" s="313" t="s">
        <v>259</v>
      </c>
      <c r="F85" s="213" t="str">
        <f>"["&amp;A85&amp;"]"</f>
        <v>[38]</v>
      </c>
      <c r="G85" s="313" t="s">
        <v>39</v>
      </c>
      <c r="H85" s="153">
        <f>-($I$13*$I$21*1000)</f>
        <v>-2304255091.2588</v>
      </c>
      <c r="I85" s="153" t="s">
        <v>617</v>
      </c>
      <c r="J85" s="313"/>
      <c r="K85" s="313"/>
      <c r="L85" s="313"/>
      <c r="AT85" s="214"/>
      <c r="AU85" s="214"/>
    </row>
    <row r="86" spans="1:47" ht="15" customHeight="1" x14ac:dyDescent="0.35">
      <c r="A86" s="26">
        <f>MAX($A$7:A85)+1</f>
        <v>39</v>
      </c>
      <c r="D86" s="1825" t="s">
        <v>70</v>
      </c>
      <c r="F86" s="17" t="str">
        <f>"["&amp;A86&amp;"]"</f>
        <v>[39]</v>
      </c>
      <c r="G86" s="26" t="s">
        <v>39</v>
      </c>
      <c r="H86" s="22" t="b">
        <f ca="1">IFERROR(ABS((H84+H85)/H85)&lt;0.001, FALSE)</f>
        <v>0</v>
      </c>
      <c r="I86" s="153"/>
      <c r="J86" s="1295"/>
      <c r="AT86" s="214"/>
      <c r="AU86" s="214"/>
    </row>
    <row r="87" spans="1:47" ht="6" customHeight="1" thickBot="1" x14ac:dyDescent="0.4">
      <c r="D87" s="20"/>
      <c r="E87" s="20"/>
      <c r="F87" s="24"/>
      <c r="G87" s="20"/>
      <c r="H87" s="20"/>
      <c r="I87" s="44"/>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3"/>
      <c r="AI87" s="203"/>
      <c r="AJ87" s="203"/>
      <c r="AK87" s="203"/>
      <c r="AL87" s="203"/>
      <c r="AM87" s="203"/>
      <c r="AN87" s="203"/>
      <c r="AO87" s="203"/>
      <c r="AP87" s="203"/>
      <c r="AQ87" s="203"/>
      <c r="AT87" s="214"/>
      <c r="AU87" s="214"/>
    </row>
    <row r="88" spans="1:47" ht="6" customHeight="1" thickTop="1" x14ac:dyDescent="0.35">
      <c r="F88" s="17"/>
      <c r="AT88" s="214"/>
      <c r="AU88" s="214"/>
    </row>
    <row r="89" spans="1:47" ht="15" customHeight="1" x14ac:dyDescent="0.35">
      <c r="D89" s="5" t="s">
        <v>26</v>
      </c>
      <c r="I89" s="153"/>
      <c r="J89" s="153"/>
      <c r="K89" s="153"/>
      <c r="L89" s="153"/>
      <c r="M89" s="153"/>
      <c r="N89" s="153"/>
      <c r="O89" s="153"/>
      <c r="P89" s="153"/>
      <c r="Q89" s="153"/>
      <c r="R89" s="153"/>
      <c r="S89" s="153"/>
      <c r="T89" s="153"/>
      <c r="U89" s="153"/>
      <c r="V89" s="153"/>
      <c r="W89" s="153"/>
      <c r="X89" s="153"/>
      <c r="Y89" s="153"/>
      <c r="Z89" s="153"/>
      <c r="AA89" s="153"/>
      <c r="AB89" s="153"/>
      <c r="AT89" s="214"/>
      <c r="AU89" s="214"/>
    </row>
    <row r="90" spans="1:47" s="404" customFormat="1" ht="15" customHeight="1" x14ac:dyDescent="0.35">
      <c r="D90" s="404" t="s">
        <v>679</v>
      </c>
      <c r="AT90" s="214"/>
      <c r="AU90" s="214"/>
    </row>
    <row r="91" spans="1:47" ht="15" customHeight="1" x14ac:dyDescent="0.35">
      <c r="D91" s="93" t="str">
        <f>$F20&amp;": "&amp;$F$16&amp;" / ("&amp;$F$13&amp;" x 1000)."</f>
        <v>[9]: [6] / ([4] x 1000).</v>
      </c>
      <c r="I91" s="153"/>
      <c r="J91" s="153"/>
      <c r="K91" s="153"/>
      <c r="L91" s="153"/>
      <c r="M91" s="153"/>
      <c r="N91" s="153"/>
      <c r="O91" s="153"/>
      <c r="P91" s="153"/>
      <c r="Q91" s="153"/>
      <c r="R91" s="153"/>
      <c r="S91" s="153"/>
      <c r="T91" s="153"/>
      <c r="U91" s="153"/>
      <c r="V91" s="153"/>
      <c r="W91" s="153"/>
      <c r="X91" s="153"/>
      <c r="Y91" s="153"/>
      <c r="Z91" s="153"/>
      <c r="AA91" s="153"/>
      <c r="AB91" s="153"/>
      <c r="AT91" s="214"/>
      <c r="AU91" s="214"/>
    </row>
    <row r="92" spans="1:47" ht="15" customHeight="1" x14ac:dyDescent="0.35">
      <c r="D92" s="93" t="str">
        <f>$F21&amp;": "&amp;$F$17&amp;" / ("&amp;$F$13&amp;" x 1000)."</f>
        <v>[10]: [7] / ([4] x 1000).</v>
      </c>
      <c r="I92" s="153"/>
      <c r="AT92" s="214"/>
      <c r="AU92" s="214"/>
    </row>
    <row r="93" spans="1:47" ht="15" customHeight="1" x14ac:dyDescent="0.35">
      <c r="D93" s="93" t="str">
        <f>$F22&amp;": "&amp;$F$18&amp;" / ("&amp;$F$13&amp;" x 1000)."</f>
        <v>[11]: [8] / ([4] x 1000).</v>
      </c>
      <c r="AT93" s="214"/>
      <c r="AU93" s="214"/>
    </row>
    <row r="94" spans="1:47" ht="15" customHeight="1" x14ac:dyDescent="0.35">
      <c r="D94" s="93" t="str">
        <f>$F34&amp;": If technology is "&amp;Control!$K$10&amp;": equals total BESS EPC Costs. If technology is "&amp;Control!$I$10&amp;": set to 0."</f>
        <v>[19]: If technology is BESS: equals total BESS EPC Costs. If technology is CT: set to 0.</v>
      </c>
      <c r="AT94" s="214"/>
      <c r="AU94" s="214"/>
    </row>
    <row r="95" spans="1:47" ht="15" customHeight="1" x14ac:dyDescent="0.35">
      <c r="D95" s="93" t="str">
        <f>$F35&amp;": If technology is "&amp;Control!$K$10&amp;": "&amp;$F$30&amp;" x "&amp;$F$34&amp;". If technology is "&amp;Control!$I$10&amp;" or "&amp;Control!$J$10&amp;": set to 0."</f>
        <v>[20]: If technology is BESS: [17] x [19]. If technology is CT or CC: set to 0.</v>
      </c>
      <c r="AT95" s="214"/>
      <c r="AU95" s="214"/>
    </row>
    <row r="96" spans="1:47" ht="15" customHeight="1" x14ac:dyDescent="0.35">
      <c r="D96" s="93" t="str">
        <f>$F36&amp;": If technology is "&amp;Control!$K$10&amp;": "&amp;$F$31&amp;" x "&amp;$F$35&amp;". If technology is "&amp;Control!$I$10&amp;" or "&amp;Control!$J$10&amp;": set to 0."</f>
        <v>[21]: If technology is BESS: [18] x [20]. If technology is CT or CC: set to 0.</v>
      </c>
      <c r="AT96" s="214"/>
      <c r="AU96" s="214"/>
    </row>
    <row r="97" spans="4:4" ht="15" customHeight="1" x14ac:dyDescent="0.35">
      <c r="D97" s="93" t="str">
        <f>$F43&amp;": If technology is "&amp;Control!$K$10&amp;": "&amp;$F$18&amp;" - "&amp;$F$36&amp;". If technology is "&amp;Control!$I$10&amp;" or "&amp;Control!$J$10&amp;", this cell equals "&amp;$F$18&amp;"."</f>
        <v>[25]: If technology is BESS: [8] - [21]. If technology is CT or CC, this cell equals [8].</v>
      </c>
    </row>
    <row r="98" spans="4:4" ht="15" customHeight="1" x14ac:dyDescent="0.35">
      <c r="D98" s="93" t="str">
        <f>$F45&amp;": In "&amp;YEAR($I$8)&amp;": (("&amp;$F$29&amp;" x "&amp;$F$43&amp;") + ((1 - "&amp;$F$29&amp;") x "&amp;$F$43&amp;" x "&amp;$F$44&amp;"). After "&amp;YEAR($I$8)&amp;": ((1 - "&amp;$F$29&amp;") x "&amp;$F$43&amp;" x "&amp;$F$44&amp;")."</f>
        <v>[27]: In 2028: (([16] x [25]) + ((1 - [16]) x [25] x [26]). After 2028: ((1 - [16]) x [25] x [26]).</v>
      </c>
    </row>
    <row r="99" spans="4:4" ht="6" customHeight="1" x14ac:dyDescent="0.35">
      <c r="D99" s="93"/>
    </row>
    <row r="100" spans="4:4" ht="15" customHeight="1" x14ac:dyDescent="0.35">
      <c r="D100" s="2143" t="s">
        <v>242</v>
      </c>
    </row>
    <row r="101" spans="4:4" ht="15" customHeight="1" x14ac:dyDescent="0.35">
      <c r="D101" s="2144" t="str">
        <f>$E$52&amp;" ("&amp;$E$53&amp;") of "&amp;RIGHT($D$55,LEN($D$55)-4)&amp;": ("&amp;$F$13&amp;" x "&amp;$F$21&amp;") / 1000."</f>
        <v>Present 
Value (EOY 0) of Investment Costs: ([4] x [10]) / 1000.</v>
      </c>
    </row>
    <row r="102" spans="4:4" ht="15" customHeight="1" x14ac:dyDescent="0.35">
      <c r="D102" s="2144" t="str">
        <f>$E$52&amp;" ("&amp;$E$53&amp;") of "&amp;RIGHT($D$56,LEN($D$56)-4)&amp;": ((1 - "&amp;$F$27&amp;") x NPV("&amp;$F$26&amp;", "&amp;$F$42&amp;") x (1 + "&amp;$F$26&amp;")^0.5) / 1000000."</f>
        <v>Present 
Value (EOY 0) of Operating Costs: ((1 - [14]) x NPV([13], [24]) x (1 + [13])^0.5) / 1000000.</v>
      </c>
    </row>
    <row r="103" spans="4:4" ht="15" customHeight="1" x14ac:dyDescent="0.35">
      <c r="D103" s="2144" t="str">
        <f>$E$52&amp;" ("&amp;$E$53&amp;") of "&amp;RIGHT($D$57,LEN($D$57)-4)&amp;": -((NPV("&amp;$F$26&amp;", "&amp;$F$77&amp;") x (1 + "&amp;$F$26&amp;")^0.5) / 1000000."</f>
        <v>Present 
Value (EOY 0) of Tax Credit: -((NPV([13], [34]) x (1 + [13])^0.5) / 1000000.</v>
      </c>
    </row>
    <row r="104" spans="4:4" ht="15" customHeight="1" x14ac:dyDescent="0.35">
      <c r="D104" s="2144" t="str">
        <f>$E$52&amp;" ("&amp;$E$53&amp;") of "&amp;RIGHT($D$58,LEN($D$58)-4)&amp;": -"&amp;$F$27&amp;" x NPV("&amp;$F$26&amp;", "&amp;$F$45&amp;") x (1 + "&amp;$F$26&amp;")^0.5."</f>
        <v>Present 
Value (EOY 0) of Depreciation Tax Shield: -[14] x NPV([13], [27]) x (1 + [13])^0.5.</v>
      </c>
    </row>
    <row r="105" spans="4:4" ht="6" customHeight="1" x14ac:dyDescent="0.35">
      <c r="D105" s="2144"/>
    </row>
    <row r="106" spans="4:4" ht="15" customHeight="1" x14ac:dyDescent="0.35">
      <c r="D106" s="2144" t="str">
        <f>$F$52&amp;" ("&amp;$F$53&amp;") of "&amp;RIGHT($D$55,LEN($D$55)-4)&amp;": (-PMT(ATWACC Adjusted by Revenue Escalation Rate, "&amp;$F$14&amp;", Present Value (EOY 0) of Investment Costs, 0, 1) x (1 + "&amp;$F$26&amp;")^0.5) / (1 - "&amp;$F$27&amp;")."</f>
        <v>First Year 
Revenue Req. (MOY 1) of Investment Costs: (-PMT(ATWACC Adjusted by Revenue Escalation Rate, [5], Present Value (EOY 0) of Investment Costs, 0, 1) x (1 + [13])^0.5) / (1 - [14]).</v>
      </c>
    </row>
    <row r="107" spans="4:4" ht="15" customHeight="1" x14ac:dyDescent="0.35">
      <c r="D107" s="2144" t="str">
        <f>$F$52&amp;" ("&amp;$F$53&amp;") of "&amp;RIGHT($D$56,LEN($D$56)-4)&amp;": (-PMT(ATWACC Adjusted by Revenue Escalation Rate, "&amp;$F$14&amp;", Present Value (EOY 0) of Operating Costs, 0, 1) x (1 + "&amp;$F$26&amp;")^0.5) / (1 - "&amp;$F$27&amp;")."</f>
        <v>First Year 
Revenue Req. (MOY 1) of Operating Costs: (-PMT(ATWACC Adjusted by Revenue Escalation Rate, [5], Present Value (EOY 0) of Operating Costs, 0, 1) x (1 + [13])^0.5) / (1 - [14]).</v>
      </c>
    </row>
    <row r="108" spans="4:4" ht="15" customHeight="1" x14ac:dyDescent="0.35">
      <c r="D108" s="2144" t="str">
        <f>$F$52&amp;" ("&amp;$F$53&amp;") of "&amp;RIGHT($D$57,LEN($D$57)-4)&amp;": (-PMT(ATWACC Adjusted by Revenue Escalation Rate, "&amp;$F$14&amp;", Present Value (EOY 0) of Tax Credit, 0, 1) x (1 + "&amp;$F$26&amp;")^0.5) / (1 - "&amp;$F$27&amp;")."</f>
        <v>First Year 
Revenue Req. (MOY 1) of Tax Credit: (-PMT(ATWACC Adjusted by Revenue Escalation Rate, [5], Present Value (EOY 0) of Tax Credit, 0, 1) x (1 + [13])^0.5) / (1 - [14]).</v>
      </c>
    </row>
    <row r="109" spans="4:4" ht="15" customHeight="1" x14ac:dyDescent="0.35">
      <c r="D109" s="2144" t="str">
        <f>$F$52&amp;" ("&amp;$F$53&amp;") of "&amp;RIGHT($D$58,LEN($D$58)-4)&amp;": (-PMT(ATWACC Adjusted by Revenue Escalation Rate, "&amp;$F$14&amp;", Present Value (EOY 0) of Depreciation Costs, 0, 1) x (1 + "&amp;$F$26&amp;")^0.5) / (1 - "&amp;$F$27&amp;")."</f>
        <v>First Year 
Revenue Req. (MOY 1) of Depreciation Tax Shield: (-PMT(ATWACC Adjusted by Revenue Escalation Rate, [5], Present Value (EOY 0) of Depreciation Costs, 0, 1) x (1 + [13])^0.5) / (1 - [14]).</v>
      </c>
    </row>
    <row r="110" spans="4:4" ht="15" customHeight="1" x14ac:dyDescent="0.35">
      <c r="D110" s="2144" t="str">
        <f>$G$52&amp;" ("&amp;$G$53&amp;") of "&amp;RIGHT($D$55,LEN($D$55)-4)&amp;" "&amp;$G$54&amp;": (1000 x "&amp;$G$52&amp;" ("&amp;$G$53&amp;") of "&amp;RIGHT($D$55,LEN($D$55)-4)&amp;") / Plant Capacity."</f>
        <v>First Year 
Revenue Req. (MOY 1) of Investment Costs (2028$/kW-yr): (1000 x First Year 
Revenue Req. (MOY 1) of Investment Costs) / Plant Capacity.</v>
      </c>
    </row>
    <row r="111" spans="4:4" ht="15" customHeight="1" x14ac:dyDescent="0.35">
      <c r="D111" s="2144" t="str">
        <f>$G$52&amp;" ("&amp;$G$53&amp;") of "&amp;RIGHT($D$56,LEN($D$56)-4)&amp;" "&amp;$G$54&amp;": (1000 x "&amp;$G$52&amp;" ("&amp;$G$53&amp;") of "&amp;RIGHT($D$56,LEN($D$56)-4)&amp;") / Plant Capacity."</f>
        <v>First Year 
Revenue Req. (MOY 1) of Operating Costs (2028$/kW-yr): (1000 x First Year 
Revenue Req. (MOY 1) of Operating Costs) / Plant Capacity.</v>
      </c>
    </row>
    <row r="112" spans="4:4" ht="15" customHeight="1" x14ac:dyDescent="0.35">
      <c r="D112" s="2144" t="str">
        <f>$G$52&amp;" ("&amp;$G$53&amp;") of "&amp;RIGHT($D$57,LEN($D$57)-4)&amp;" "&amp;$G$54&amp;": (1000 x "&amp;$G$52&amp;" ("&amp;$G$53&amp;") of "&amp;RIGHT($D$57,LEN($D$57)-4)&amp;") / Plant Capacity."</f>
        <v>First Year 
Revenue Req. (MOY 1) of Tax Credit (2028$/kW-yr): (1000 x First Year 
Revenue Req. (MOY 1) of Tax Credit) / Plant Capacity.</v>
      </c>
    </row>
    <row r="113" spans="3:43" ht="15" customHeight="1" x14ac:dyDescent="0.35">
      <c r="D113" s="2144" t="str">
        <f>$G$52&amp;" ("&amp;$G$53&amp;") of "&amp;RIGHT($D$58,LEN($D$58)-4)&amp;" "&amp;$G$54&amp;": (1000 x "&amp;$G$52&amp;" ("&amp;$G$53&amp;") of "&amp;RIGHT($D$58,LEN($D$58)-4)&amp;") / Plant Capacity."</f>
        <v>First Year 
Revenue Req. (MOY 1) of Depreciation Tax Shield (2028$/kW-yr): (1000 x First Year 
Revenue Req. (MOY 1) of Depreciation Tax Shield) / Plant Capacity.</v>
      </c>
    </row>
    <row r="114" spans="3:43" ht="15" customHeight="1" x14ac:dyDescent="0.35">
      <c r="D114" s="2144" t="str">
        <f>"Total = "&amp;RIGHT($D$55, LEN($D$55)-4)&amp;" + "&amp;RIGHT($D$56, LEN($D$56)-4)&amp;" + "&amp;RIGHT($D$57, LEN($D$57)-4)&amp;" + "&amp;RIGHT($D$58, LEN($D$58)-4)&amp;"."</f>
        <v>Total = Investment Costs + Operating Costs + Tax Credit + Depreciation Tax Shield.</v>
      </c>
    </row>
    <row r="115" spans="3:43" ht="6" customHeight="1" x14ac:dyDescent="0.35">
      <c r="D115" s="93"/>
    </row>
    <row r="116" spans="3:43" ht="15" customHeight="1" x14ac:dyDescent="0.35">
      <c r="D116" s="93" t="str">
        <f>$F69&amp;": If year &lt;= "&amp;$F$14&amp;": "&amp;$G$52&amp;" "&amp;$G$54&amp;" Total x (1 + "&amp;$F$25&amp;") ^ ("&amp;$F$41&amp;" - 1). If year &gt; "&amp;$F$14&amp;": 0."</f>
        <v>[29]: If year &lt;= [5]: First Year 
Revenue Req. (2028$/kW-yr) Total x (1 + [12]) ^ ([23] - 1). If year &gt; [5]: 0.</v>
      </c>
    </row>
    <row r="117" spans="3:43" ht="15" customHeight="1" x14ac:dyDescent="0.35">
      <c r="D117" s="93" t="str">
        <f>$F70&amp;": "&amp;$F$13&amp;" x "&amp;$F$69&amp;" x 1000."</f>
        <v>[30]: [4] x [29] x 1000.</v>
      </c>
    </row>
    <row r="118" spans="3:43" ht="15" customHeight="1" x14ac:dyDescent="0.35">
      <c r="D118" s="93" t="str">
        <f>$F75&amp;": "&amp;$F$27&amp;" x ("&amp;F70&amp;" - "&amp;F72&amp;" - "&amp;F74&amp;")."</f>
        <v>[33]: [14] x ([30] - [31] - [32]).</v>
      </c>
    </row>
    <row r="119" spans="3:43" ht="15" customHeight="1" x14ac:dyDescent="0.35">
      <c r="D119" s="93" t="str">
        <f>$F77&amp;": If technology is "&amp;Control!$K$10&amp;": "&amp;$F$35&amp;" in year 1 and 0 in subsequent years. If technology is "&amp;Control!$I$10&amp;" or "&amp;Control!$J$10&amp;": set to 0 in all years."</f>
        <v>[34]: If technology is BESS: [20] in year 1 and 0 in subsequent years. If technology is CT or CC: set to 0 in all years.</v>
      </c>
    </row>
    <row r="120" spans="3:43" ht="15" customHeight="1" x14ac:dyDescent="0.35">
      <c r="D120" s="93" t="str">
        <f>$F84&amp;": NPV("&amp;$F$80&amp;" at "&amp;$F$26&amp;") x (1 + "&amp;$F$26&amp;")^0.5."</f>
        <v>[37]: NPV([36] at [13]) x (1 + [13])^0.5.</v>
      </c>
    </row>
    <row r="121" spans="3:43" ht="15" customHeight="1" x14ac:dyDescent="0.35">
      <c r="D121" s="93" t="str">
        <f>$F85&amp;": -("&amp;$F$13&amp;" x "&amp;$F$21&amp;" x 1000)."</f>
        <v>[38]: -([4] x [10] x 1000).</v>
      </c>
    </row>
    <row r="122" spans="3:43" ht="15" customHeight="1" x14ac:dyDescent="0.35">
      <c r="D122" s="93" t="str">
        <f>$F86&amp;": Checks if "&amp;$F$84&amp;" is within 0.1% of "&amp;$F$85&amp;"."</f>
        <v>[39]: Checks if [37] is within 0.1% of [38].</v>
      </c>
    </row>
    <row r="125" spans="3:43" s="50" customFormat="1" ht="15" hidden="1" customHeight="1" outlineLevel="1" x14ac:dyDescent="0.35">
      <c r="D125" s="50" t="s">
        <v>179</v>
      </c>
      <c r="I125" s="135"/>
    </row>
    <row r="126" spans="3:43" s="36" customFormat="1" ht="6" hidden="1" customHeight="1" outlineLevel="1" thickBot="1" x14ac:dyDescent="0.4">
      <c r="C126" s="52"/>
      <c r="D126" s="51"/>
      <c r="E126" s="51"/>
      <c r="F126" s="51"/>
      <c r="G126" s="51"/>
      <c r="H126" s="51"/>
      <c r="I126" s="136"/>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2"/>
      <c r="AI126" s="52"/>
      <c r="AJ126" s="52"/>
      <c r="AK126" s="52"/>
      <c r="AL126" s="52"/>
      <c r="AM126" s="52"/>
      <c r="AN126" s="52"/>
      <c r="AO126" s="52"/>
      <c r="AP126" s="52"/>
      <c r="AQ126" s="52"/>
    </row>
    <row r="127" spans="3:43" s="36" customFormat="1" ht="6" hidden="1" customHeight="1" outlineLevel="1" thickTop="1" x14ac:dyDescent="0.35">
      <c r="C127" s="52"/>
      <c r="I127" s="94"/>
    </row>
    <row r="128" spans="3:43" s="36" customFormat="1" ht="15" hidden="1" customHeight="1" outlineLevel="1" x14ac:dyDescent="0.35">
      <c r="C128" s="53"/>
      <c r="D128" s="41" t="s">
        <v>40</v>
      </c>
      <c r="I128" s="94"/>
    </row>
    <row r="129" spans="1:43" s="36" customFormat="1" ht="15" hidden="1" customHeight="1" outlineLevel="1" x14ac:dyDescent="0.35">
      <c r="A129" s="36">
        <f>A86+1</f>
        <v>40</v>
      </c>
      <c r="D129" s="36" t="s">
        <v>15</v>
      </c>
      <c r="E129" s="36" t="str">
        <f>"%"</f>
        <v>%</v>
      </c>
      <c r="F129" s="54" t="str">
        <f>"["&amp;A129&amp;"]"</f>
        <v>[40]</v>
      </c>
      <c r="G129" s="285" t="str">
        <f>Control!$D$3</f>
        <v>Control Table</v>
      </c>
      <c r="H129" s="55"/>
      <c r="I129" s="84">
        <f>INDEX(Control!$H:$H, MATCH($D129, Control!$D:$D, 0))</f>
        <v>5.8000000000000003E-2</v>
      </c>
    </row>
    <row r="130" spans="1:43" s="36" customFormat="1" ht="15" hidden="1" customHeight="1" outlineLevel="1" x14ac:dyDescent="0.35">
      <c r="A130" s="36">
        <f>A129+1</f>
        <v>41</v>
      </c>
      <c r="D130" s="36" t="s">
        <v>9</v>
      </c>
      <c r="E130" s="36" t="str">
        <f>"%"</f>
        <v>%</v>
      </c>
      <c r="F130" s="54" t="str">
        <f>"["&amp;A130&amp;"]"</f>
        <v>[41]</v>
      </c>
      <c r="G130" s="285" t="str">
        <f>Control!$D$3</f>
        <v>Control Table</v>
      </c>
      <c r="H130" s="55"/>
      <c r="I130" s="84">
        <f>INDEX(Control!$H:$H, MATCH($D130, Control!$D:$D, 0))</f>
        <v>0.55000000000000004</v>
      </c>
    </row>
    <row r="131" spans="1:43" s="36" customFormat="1" ht="15" hidden="1" customHeight="1" outlineLevel="1" x14ac:dyDescent="0.35">
      <c r="A131" s="36">
        <f>A130+1</f>
        <v>42</v>
      </c>
      <c r="D131" s="36" t="s">
        <v>14</v>
      </c>
      <c r="E131" s="36" t="str">
        <f>"%"</f>
        <v>%</v>
      </c>
      <c r="F131" s="54" t="str">
        <f>"["&amp;A131&amp;"]"</f>
        <v>[42]</v>
      </c>
      <c r="G131" s="285" t="str">
        <f>Control!$D$3</f>
        <v>Control Table</v>
      </c>
      <c r="H131" s="55"/>
      <c r="I131" s="84">
        <f>INDEX(Control!$H:$H, MATCH($D131, Control!$D:$D, 0))</f>
        <v>0.16</v>
      </c>
    </row>
    <row r="132" spans="1:43" s="36" customFormat="1" ht="6" hidden="1" customHeight="1" outlineLevel="1" x14ac:dyDescent="0.35">
      <c r="F132" s="54"/>
      <c r="H132" s="55"/>
      <c r="I132" s="84"/>
    </row>
    <row r="133" spans="1:43" s="36" customFormat="1" ht="15" hidden="1" customHeight="1" outlineLevel="1" x14ac:dyDescent="0.35">
      <c r="C133" s="53"/>
      <c r="D133" s="41" t="s">
        <v>19</v>
      </c>
      <c r="I133" s="94"/>
    </row>
    <row r="134" spans="1:43" s="36" customFormat="1" ht="15" hidden="1" customHeight="1" outlineLevel="1" x14ac:dyDescent="0.35">
      <c r="A134" s="36">
        <f>A131+1</f>
        <v>43</v>
      </c>
      <c r="D134" s="36" t="s">
        <v>180</v>
      </c>
      <c r="E134" s="36" t="s">
        <v>10</v>
      </c>
      <c r="F134" s="54" t="str">
        <f>"["&amp;A134&amp;"]"</f>
        <v>[43]</v>
      </c>
      <c r="G134" s="285" t="str">
        <f>"1 - "&amp;$F$130</f>
        <v>1 - [41]</v>
      </c>
      <c r="H134" s="55"/>
      <c r="I134" s="84">
        <f>1-I130</f>
        <v>0.44999999999999996</v>
      </c>
    </row>
    <row r="135" spans="1:43" s="36" customFormat="1" ht="6" hidden="1" customHeight="1" outlineLevel="1" x14ac:dyDescent="0.35">
      <c r="D135" s="56"/>
      <c r="E135" s="56"/>
      <c r="F135" s="57"/>
      <c r="G135" s="56"/>
      <c r="H135" s="56"/>
      <c r="I135" s="137"/>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2"/>
      <c r="AI135" s="52"/>
      <c r="AJ135" s="52"/>
      <c r="AK135" s="52"/>
      <c r="AL135" s="52"/>
      <c r="AM135" s="52"/>
      <c r="AN135" s="52"/>
      <c r="AO135" s="52"/>
      <c r="AP135" s="52"/>
      <c r="AQ135" s="52"/>
    </row>
    <row r="136" spans="1:43" s="36" customFormat="1" ht="6" hidden="1" customHeight="1" outlineLevel="1" x14ac:dyDescent="0.35">
      <c r="F136" s="54"/>
      <c r="I136" s="94"/>
    </row>
    <row r="137" spans="1:43" s="36" customFormat="1" ht="15" hidden="1" customHeight="1" outlineLevel="1" x14ac:dyDescent="0.35">
      <c r="D137" s="41" t="s">
        <v>187</v>
      </c>
      <c r="F137" s="54"/>
      <c r="I137" s="94"/>
    </row>
    <row r="138" spans="1:43" s="36" customFormat="1" ht="15" hidden="1" customHeight="1" outlineLevel="1" x14ac:dyDescent="0.35">
      <c r="A138" s="36">
        <f>A134+1</f>
        <v>44</v>
      </c>
      <c r="D138" s="36" t="s">
        <v>27</v>
      </c>
      <c r="F138" s="54" t="str">
        <f>"["&amp;A138&amp;"]"</f>
        <v>[44]</v>
      </c>
      <c r="G138" s="285" t="str">
        <f>$F$41</f>
        <v>[23]</v>
      </c>
      <c r="I138" s="94">
        <f>I$41</f>
        <v>1</v>
      </c>
      <c r="J138" s="94">
        <f t="shared" ref="J138:AG138" si="15">J$41</f>
        <v>2</v>
      </c>
      <c r="K138" s="94">
        <f t="shared" si="15"/>
        <v>3</v>
      </c>
      <c r="L138" s="94">
        <f t="shared" si="15"/>
        <v>4</v>
      </c>
      <c r="M138" s="94">
        <f t="shared" si="15"/>
        <v>5</v>
      </c>
      <c r="N138" s="94">
        <f t="shared" si="15"/>
        <v>6</v>
      </c>
      <c r="O138" s="94">
        <f t="shared" si="15"/>
        <v>7</v>
      </c>
      <c r="P138" s="94">
        <f t="shared" si="15"/>
        <v>8</v>
      </c>
      <c r="Q138" s="94">
        <f t="shared" si="15"/>
        <v>9</v>
      </c>
      <c r="R138" s="94">
        <f t="shared" si="15"/>
        <v>10</v>
      </c>
      <c r="S138" s="94">
        <f t="shared" si="15"/>
        <v>11</v>
      </c>
      <c r="T138" s="94">
        <f t="shared" si="15"/>
        <v>12</v>
      </c>
      <c r="U138" s="94">
        <f t="shared" si="15"/>
        <v>13</v>
      </c>
      <c r="V138" s="94">
        <f t="shared" si="15"/>
        <v>14</v>
      </c>
      <c r="W138" s="94">
        <f t="shared" si="15"/>
        <v>15</v>
      </c>
      <c r="X138" s="94">
        <f t="shared" si="15"/>
        <v>16</v>
      </c>
      <c r="Y138" s="94">
        <f t="shared" si="15"/>
        <v>17</v>
      </c>
      <c r="Z138" s="94">
        <f t="shared" si="15"/>
        <v>18</v>
      </c>
      <c r="AA138" s="94">
        <f t="shared" si="15"/>
        <v>19</v>
      </c>
      <c r="AB138" s="94">
        <f t="shared" si="15"/>
        <v>20</v>
      </c>
      <c r="AC138" s="94">
        <f t="shared" si="15"/>
        <v>21</v>
      </c>
      <c r="AD138" s="94">
        <f t="shared" si="15"/>
        <v>22</v>
      </c>
      <c r="AE138" s="94">
        <f t="shared" si="15"/>
        <v>23</v>
      </c>
      <c r="AF138" s="94">
        <f t="shared" si="15"/>
        <v>24</v>
      </c>
      <c r="AG138" s="94">
        <f t="shared" si="15"/>
        <v>25</v>
      </c>
    </row>
    <row r="139" spans="1:43" s="36" customFormat="1" ht="15" hidden="1" customHeight="1" outlineLevel="1" x14ac:dyDescent="0.35">
      <c r="A139" s="36">
        <f>A138+1</f>
        <v>45</v>
      </c>
      <c r="D139" s="36" t="s">
        <v>178</v>
      </c>
      <c r="E139" s="36" t="s">
        <v>259</v>
      </c>
      <c r="F139" s="54" t="str">
        <f t="shared" ref="F139:F157" si="16">"["&amp;A139&amp;"]"</f>
        <v>[45]</v>
      </c>
      <c r="G139" s="285" t="str">
        <f>F146</f>
        <v>[51]</v>
      </c>
      <c r="I139" s="126">
        <f t="shared" ref="I139:AG139" si="17">I$146</f>
        <v>36234868.260988638</v>
      </c>
      <c r="J139" s="59">
        <f t="shared" ca="1" si="17"/>
        <v>64887745.461930372</v>
      </c>
      <c r="K139" s="59">
        <f t="shared" ca="1" si="17"/>
        <v>58660495.556574814</v>
      </c>
      <c r="L139" s="59">
        <f t="shared" ca="1" si="17"/>
        <v>51955793.18803753</v>
      </c>
      <c r="M139" s="59">
        <f t="shared" ca="1" si="17"/>
        <v>50369856.097016923</v>
      </c>
      <c r="N139" s="59">
        <f t="shared" ca="1" si="17"/>
        <v>48736831.819295853</v>
      </c>
      <c r="O139" s="59">
        <f t="shared" ca="1" si="17"/>
        <v>47047618.874050491</v>
      </c>
      <c r="P139" s="59">
        <f t="shared" ca="1" si="17"/>
        <v>45292042.893978834</v>
      </c>
      <c r="Q139" s="59">
        <f t="shared" ca="1" si="17"/>
        <v>43460150.239634186</v>
      </c>
      <c r="R139" s="59">
        <f t="shared" ca="1" si="17"/>
        <v>41486314.860046759</v>
      </c>
      <c r="S139" s="59">
        <f t="shared" ca="1" si="17"/>
        <v>39355355.819725238</v>
      </c>
      <c r="T139" s="59">
        <f t="shared" ca="1" si="17"/>
        <v>37053714.084830329</v>
      </c>
      <c r="U139" s="59">
        <f t="shared" ca="1" si="17"/>
        <v>34566327.764513202</v>
      </c>
      <c r="V139" s="59">
        <f t="shared" ca="1" si="17"/>
        <v>31876489.832526252</v>
      </c>
      <c r="W139" s="59">
        <f t="shared" ca="1" si="17"/>
        <v>28966408.648851845</v>
      </c>
      <c r="X139" s="59">
        <f t="shared" ca="1" si="17"/>
        <v>25816560.239305649</v>
      </c>
      <c r="Y139" s="59">
        <f t="shared" ca="1" si="17"/>
        <v>22404943.122294076</v>
      </c>
      <c r="Z139" s="59">
        <f t="shared" ca="1" si="17"/>
        <v>18708372.293658782</v>
      </c>
      <c r="AA139" s="59">
        <f t="shared" ca="1" si="17"/>
        <v>14700744.549788974</v>
      </c>
      <c r="AB139" s="59">
        <f t="shared" ca="1" si="17"/>
        <v>10354077.737636549</v>
      </c>
      <c r="AC139" s="59">
        <f t="shared" si="17"/>
        <v>0</v>
      </c>
      <c r="AD139" s="59">
        <f t="shared" si="17"/>
        <v>0</v>
      </c>
      <c r="AE139" s="59">
        <f t="shared" si="17"/>
        <v>0</v>
      </c>
      <c r="AF139" s="59">
        <f t="shared" si="17"/>
        <v>0</v>
      </c>
      <c r="AG139" s="59">
        <f t="shared" si="17"/>
        <v>0</v>
      </c>
      <c r="AH139" s="59"/>
      <c r="AI139" s="59"/>
      <c r="AJ139" s="59"/>
      <c r="AK139" s="59"/>
      <c r="AL139" s="59"/>
      <c r="AM139" s="59"/>
      <c r="AN139" s="59"/>
      <c r="AO139" s="59"/>
      <c r="AP139" s="59"/>
      <c r="AQ139" s="59"/>
    </row>
    <row r="140" spans="1:43" s="36" customFormat="1" ht="15" hidden="1" customHeight="1" outlineLevel="1" x14ac:dyDescent="0.35">
      <c r="A140" s="36">
        <f>A139+1</f>
        <v>46</v>
      </c>
      <c r="D140" s="36" t="s">
        <v>188</v>
      </c>
      <c r="E140" s="36" t="s">
        <v>259</v>
      </c>
      <c r="F140" s="54" t="str">
        <f t="shared" si="16"/>
        <v>[46]</v>
      </c>
      <c r="G140" s="2145" t="s">
        <v>39</v>
      </c>
      <c r="I140" s="126">
        <f t="shared" ref="I140:AG140" ca="1" si="18">I$70-I$72-I$74-I$139</f>
        <v>355057740.92693812</v>
      </c>
      <c r="J140" s="59">
        <f t="shared" ca="1" si="18"/>
        <v>277168374.90146172</v>
      </c>
      <c r="K140" s="59">
        <f t="shared" ca="1" si="18"/>
        <v>292886090.49560416</v>
      </c>
      <c r="L140" s="59">
        <f t="shared" ca="1" si="18"/>
        <v>64694974.753540978</v>
      </c>
      <c r="M140" s="59">
        <f t="shared" ca="1" si="18"/>
        <v>74159581.114999264</v>
      </c>
      <c r="N140" s="59">
        <f t="shared" ca="1" si="18"/>
        <v>82980039.060238913</v>
      </c>
      <c r="O140" s="59">
        <f t="shared" ca="1" si="18"/>
        <v>91174357.470665812</v>
      </c>
      <c r="P140" s="59">
        <f t="shared" ca="1" si="18"/>
        <v>98809358.191832364</v>
      </c>
      <c r="Q140" s="59">
        <f t="shared" ca="1" si="18"/>
        <v>99647381.533535182</v>
      </c>
      <c r="R140" s="59">
        <f t="shared" ca="1" si="18"/>
        <v>100294607.5032443</v>
      </c>
      <c r="S140" s="59">
        <f t="shared" ca="1" si="18"/>
        <v>101038701.87484479</v>
      </c>
      <c r="T140" s="59">
        <f t="shared" ca="1" si="18"/>
        <v>101902375.50261174</v>
      </c>
      <c r="U140" s="59">
        <f t="shared" ca="1" si="18"/>
        <v>102909808.68653542</v>
      </c>
      <c r="V140" s="59">
        <f t="shared" ca="1" si="18"/>
        <v>104055899.86649264</v>
      </c>
      <c r="W140" s="59">
        <f t="shared" ca="1" si="18"/>
        <v>105387097.18601826</v>
      </c>
      <c r="X140" s="59">
        <f t="shared" ca="1" si="18"/>
        <v>106868672.74456835</v>
      </c>
      <c r="Y140" s="59">
        <f t="shared" ca="1" si="18"/>
        <v>108591284.48985684</v>
      </c>
      <c r="Z140" s="59">
        <f t="shared" ca="1" si="18"/>
        <v>110500858.72147833</v>
      </c>
      <c r="AA140" s="59">
        <f t="shared" ca="1" si="18"/>
        <v>112705308.54276484</v>
      </c>
      <c r="AB140" s="59">
        <f t="shared" ca="1" si="18"/>
        <v>115139817.84461688</v>
      </c>
      <c r="AC140" s="59">
        <f t="shared" si="18"/>
        <v>-32813742.679970488</v>
      </c>
      <c r="AD140" s="59">
        <f t="shared" si="18"/>
        <v>0</v>
      </c>
      <c r="AE140" s="59">
        <f t="shared" si="18"/>
        <v>0</v>
      </c>
      <c r="AF140" s="59">
        <f t="shared" si="18"/>
        <v>0</v>
      </c>
      <c r="AG140" s="59">
        <f t="shared" si="18"/>
        <v>0</v>
      </c>
      <c r="AH140" s="59"/>
      <c r="AI140" s="59"/>
      <c r="AJ140" s="59"/>
      <c r="AK140" s="59"/>
      <c r="AL140" s="59"/>
      <c r="AM140" s="59"/>
      <c r="AN140" s="59"/>
      <c r="AO140" s="59"/>
      <c r="AP140" s="59"/>
      <c r="AQ140" s="59"/>
    </row>
    <row r="141" spans="1:43" s="36" customFormat="1" ht="15" hidden="1" customHeight="1" outlineLevel="1" x14ac:dyDescent="0.35">
      <c r="A141" s="36">
        <f>A140+1</f>
        <v>47</v>
      </c>
      <c r="D141" s="36" t="s">
        <v>181</v>
      </c>
      <c r="E141" s="36" t="s">
        <v>259</v>
      </c>
      <c r="F141" s="54" t="str">
        <f t="shared" si="16"/>
        <v>[47]</v>
      </c>
      <c r="G141" s="2145" t="s">
        <v>39</v>
      </c>
      <c r="I141" s="126">
        <f t="shared" ref="I141:AG141" ca="1" si="19">$I$27*I$140-I$77</f>
        <v>96973725.259706274</v>
      </c>
      <c r="J141" s="126">
        <f t="shared" ca="1" si="19"/>
        <v>75700503.721462131</v>
      </c>
      <c r="K141" s="126">
        <f t="shared" ca="1" si="19"/>
        <v>79993341.922249898</v>
      </c>
      <c r="L141" s="126">
        <f t="shared" ca="1" si="19"/>
        <v>17669556.199661866</v>
      </c>
      <c r="M141" s="126">
        <f t="shared" ca="1" si="19"/>
        <v>20254538.953709714</v>
      </c>
      <c r="N141" s="126">
        <f t="shared" ca="1" si="19"/>
        <v>22663591.248171512</v>
      </c>
      <c r="O141" s="126">
        <f t="shared" ca="1" si="19"/>
        <v>24901631.686745718</v>
      </c>
      <c r="P141" s="126">
        <f t="shared" ca="1" si="19"/>
        <v>26986910.718711447</v>
      </c>
      <c r="Q141" s="126">
        <f t="shared" ca="1" si="19"/>
        <v>27215792.491820663</v>
      </c>
      <c r="R141" s="126">
        <f t="shared" ca="1" si="19"/>
        <v>27392563.495893586</v>
      </c>
      <c r="S141" s="126">
        <f t="shared" ca="1" si="19"/>
        <v>27595791.294759486</v>
      </c>
      <c r="T141" s="126">
        <f t="shared" ca="1" si="19"/>
        <v>27831678.69964882</v>
      </c>
      <c r="U141" s="126">
        <f t="shared" ca="1" si="19"/>
        <v>28106829.858275238</v>
      </c>
      <c r="V141" s="126">
        <f t="shared" ca="1" si="19"/>
        <v>28419851.427436337</v>
      </c>
      <c r="W141" s="126">
        <f t="shared" ca="1" si="19"/>
        <v>28783429.370542493</v>
      </c>
      <c r="X141" s="126">
        <f t="shared" ca="1" si="19"/>
        <v>29188078.768669251</v>
      </c>
      <c r="Y141" s="126">
        <f t="shared" ca="1" si="19"/>
        <v>29658560.211154189</v>
      </c>
      <c r="Z141" s="126">
        <f t="shared" ca="1" si="19"/>
        <v>30180105.034868881</v>
      </c>
      <c r="AA141" s="126">
        <f t="shared" ca="1" si="19"/>
        <v>30782186.574508477</v>
      </c>
      <c r="AB141" s="126">
        <f t="shared" ca="1" si="19"/>
        <v>31447102.189539608</v>
      </c>
      <c r="AC141" s="126">
        <f t="shared" si="19"/>
        <v>-8962122.2144962195</v>
      </c>
      <c r="AD141" s="126">
        <f t="shared" si="19"/>
        <v>0</v>
      </c>
      <c r="AE141" s="126">
        <f t="shared" si="19"/>
        <v>0</v>
      </c>
      <c r="AF141" s="126">
        <f t="shared" si="19"/>
        <v>0</v>
      </c>
      <c r="AG141" s="126">
        <f t="shared" si="19"/>
        <v>0</v>
      </c>
      <c r="AH141" s="126"/>
      <c r="AI141" s="126"/>
      <c r="AJ141" s="126"/>
      <c r="AK141" s="126"/>
      <c r="AL141" s="126"/>
      <c r="AM141" s="126"/>
      <c r="AN141" s="126"/>
      <c r="AO141" s="126"/>
      <c r="AP141" s="126"/>
      <c r="AQ141" s="126"/>
    </row>
    <row r="142" spans="1:43" s="36" customFormat="1" ht="15" hidden="1" customHeight="1" outlineLevel="1" x14ac:dyDescent="0.35">
      <c r="A142" s="36">
        <f>A141+1</f>
        <v>48</v>
      </c>
      <c r="D142" s="36" t="s">
        <v>182</v>
      </c>
      <c r="E142" s="36" t="s">
        <v>259</v>
      </c>
      <c r="F142" s="54" t="str">
        <f t="shared" si="16"/>
        <v>[48]</v>
      </c>
      <c r="G142" s="285" t="str">
        <f>$F$153</f>
        <v>[57]</v>
      </c>
      <c r="I142" s="126">
        <f t="shared" ref="I142:AG142" si="20">I153</f>
        <v>79876617.103205457</v>
      </c>
      <c r="J142" s="59">
        <f t="shared" ca="1" si="20"/>
        <v>146455099.47520331</v>
      </c>
      <c r="K142" s="59">
        <f t="shared" ca="1" si="20"/>
        <v>132399864.57910299</v>
      </c>
      <c r="L142" s="59">
        <f t="shared" ca="1" si="20"/>
        <v>117266994.02942637</v>
      </c>
      <c r="M142" s="59">
        <f t="shared" ca="1" si="20"/>
        <v>113687449.4979692</v>
      </c>
      <c r="N142" s="59">
        <f t="shared" ca="1" si="20"/>
        <v>110001626.67678057</v>
      </c>
      <c r="O142" s="59">
        <f t="shared" ca="1" si="20"/>
        <v>106188983.03860922</v>
      </c>
      <c r="P142" s="59">
        <f t="shared" ca="1" si="20"/>
        <v>102226554.49424684</v>
      </c>
      <c r="Q142" s="59">
        <f t="shared" ca="1" si="20"/>
        <v>98091875.149017543</v>
      </c>
      <c r="R142" s="59">
        <f t="shared" ca="1" si="20"/>
        <v>93636823.508569434</v>
      </c>
      <c r="S142" s="59">
        <f t="shared" ca="1" si="20"/>
        <v>88827135.392483234</v>
      </c>
      <c r="T142" s="59">
        <f t="shared" ca="1" si="20"/>
        <v>83632207.33880195</v>
      </c>
      <c r="U142" s="59">
        <f t="shared" ca="1" si="20"/>
        <v>78018043.857208431</v>
      </c>
      <c r="V142" s="59">
        <f t="shared" ca="1" si="20"/>
        <v>71946936.299118772</v>
      </c>
      <c r="W142" s="59">
        <f t="shared" ca="1" si="20"/>
        <v>65378727.984869331</v>
      </c>
      <c r="X142" s="59">
        <f t="shared" ca="1" si="20"/>
        <v>58269352.264263496</v>
      </c>
      <c r="Y142" s="59">
        <f t="shared" ca="1" si="20"/>
        <v>50569150.620851792</v>
      </c>
      <c r="Z142" s="59">
        <f t="shared" ca="1" si="20"/>
        <v>42225793.264684357</v>
      </c>
      <c r="AA142" s="59">
        <f t="shared" ca="1" si="20"/>
        <v>33180363.874131817</v>
      </c>
      <c r="AB142" s="59">
        <f t="shared" ca="1" si="20"/>
        <v>23369705.238552682</v>
      </c>
      <c r="AC142" s="59">
        <f t="shared" si="20"/>
        <v>0</v>
      </c>
      <c r="AD142" s="59">
        <f t="shared" si="20"/>
        <v>0</v>
      </c>
      <c r="AE142" s="59">
        <f t="shared" si="20"/>
        <v>0</v>
      </c>
      <c r="AF142" s="59">
        <f t="shared" si="20"/>
        <v>0</v>
      </c>
      <c r="AG142" s="59">
        <f t="shared" si="20"/>
        <v>0</v>
      </c>
      <c r="AH142" s="59"/>
      <c r="AI142" s="59"/>
      <c r="AJ142" s="59"/>
      <c r="AK142" s="59"/>
      <c r="AL142" s="59"/>
      <c r="AM142" s="59"/>
      <c r="AN142" s="59"/>
      <c r="AO142" s="59"/>
      <c r="AP142" s="59"/>
      <c r="AQ142" s="59"/>
    </row>
    <row r="143" spans="1:43" s="36" customFormat="1" ht="15" hidden="1" customHeight="1" outlineLevel="1" x14ac:dyDescent="0.35">
      <c r="A143" s="36">
        <f>A142+1</f>
        <v>49</v>
      </c>
      <c r="D143" s="36" t="s">
        <v>183</v>
      </c>
      <c r="E143" s="36" t="s">
        <v>259</v>
      </c>
      <c r="F143" s="54" t="str">
        <f t="shared" si="16"/>
        <v>[49]</v>
      </c>
      <c r="G143" s="2145" t="s">
        <v>39</v>
      </c>
      <c r="I143" s="126">
        <f t="shared" ref="I143:AG143" ca="1" si="21">I$70-I$72-I$139-I$141-I$142</f>
        <v>270156487.43653184</v>
      </c>
      <c r="J143" s="59">
        <f t="shared" ca="1" si="21"/>
        <v>195211595.77917108</v>
      </c>
      <c r="K143" s="59">
        <f t="shared" ca="1" si="21"/>
        <v>210178757.63439763</v>
      </c>
      <c r="L143" s="59">
        <f t="shared" ca="1" si="21"/>
        <v>49715896.270238489</v>
      </c>
      <c r="M143" s="59">
        <f t="shared" ca="1" si="21"/>
        <v>51191983.627619818</v>
      </c>
      <c r="N143" s="59">
        <f t="shared" ca="1" si="21"/>
        <v>52953383.863490984</v>
      </c>
      <c r="O143" s="59">
        <f t="shared" ca="1" si="21"/>
        <v>55033729.782810673</v>
      </c>
      <c r="P143" s="59">
        <f t="shared" ca="1" si="21"/>
        <v>57426102.017073631</v>
      </c>
      <c r="Q143" s="59">
        <f t="shared" ca="1" si="21"/>
        <v>61875717.228446096</v>
      </c>
      <c r="R143" s="59">
        <f t="shared" ca="1" si="21"/>
        <v>66801223.834530398</v>
      </c>
      <c r="S143" s="59">
        <f t="shared" ca="1" si="21"/>
        <v>72151778.523351192</v>
      </c>
      <c r="T143" s="59">
        <f t="shared" ca="1" si="21"/>
        <v>77974492.799910069</v>
      </c>
      <c r="U143" s="59">
        <f t="shared" ca="1" si="21"/>
        <v>84320938.306800872</v>
      </c>
      <c r="V143" s="59">
        <f t="shared" ca="1" si="21"/>
        <v>91225115.475686654</v>
      </c>
      <c r="W143" s="59">
        <f t="shared" ca="1" si="21"/>
        <v>98741329.452858835</v>
      </c>
      <c r="X143" s="59">
        <f t="shared" ca="1" si="21"/>
        <v>106947245.04738472</v>
      </c>
      <c r="Y143" s="59">
        <f t="shared" ca="1" si="21"/>
        <v>115879963.2801033</v>
      </c>
      <c r="Z143" s="59">
        <f t="shared" ca="1" si="21"/>
        <v>125630963.75767419</v>
      </c>
      <c r="AA143" s="59">
        <f t="shared" ca="1" si="21"/>
        <v>136259147.71637693</v>
      </c>
      <c r="AB143" s="59">
        <f t="shared" ca="1" si="21"/>
        <v>147859013.75227371</v>
      </c>
      <c r="AC143" s="59">
        <f t="shared" si="21"/>
        <v>8962122.2144962195</v>
      </c>
      <c r="AD143" s="59">
        <f t="shared" si="21"/>
        <v>0</v>
      </c>
      <c r="AE143" s="59">
        <f t="shared" si="21"/>
        <v>0</v>
      </c>
      <c r="AF143" s="59">
        <f t="shared" si="21"/>
        <v>0</v>
      </c>
      <c r="AG143" s="59">
        <f t="shared" si="21"/>
        <v>0</v>
      </c>
      <c r="AH143" s="59"/>
      <c r="AI143" s="59"/>
      <c r="AJ143" s="59"/>
      <c r="AK143" s="59"/>
      <c r="AL143" s="59"/>
      <c r="AM143" s="59"/>
      <c r="AN143" s="59"/>
      <c r="AO143" s="59"/>
      <c r="AP143" s="59"/>
      <c r="AQ143" s="59"/>
    </row>
    <row r="144" spans="1:43" s="36" customFormat="1" ht="6" hidden="1" customHeight="1" outlineLevel="1" x14ac:dyDescent="0.35">
      <c r="F144" s="54"/>
      <c r="G144" s="285"/>
      <c r="I144" s="94"/>
    </row>
    <row r="145" spans="1:43" s="36" customFormat="1" ht="15" hidden="1" customHeight="1" outlineLevel="1" x14ac:dyDescent="0.35">
      <c r="A145" s="36">
        <f>A143+1</f>
        <v>50</v>
      </c>
      <c r="D145" s="36" t="s">
        <v>177</v>
      </c>
      <c r="E145" s="36" t="s">
        <v>259</v>
      </c>
      <c r="F145" s="54" t="str">
        <f t="shared" si="16"/>
        <v>[50]</v>
      </c>
      <c r="G145" s="2145" t="s">
        <v>39</v>
      </c>
      <c r="H145" s="94"/>
      <c r="I145" s="126">
        <f t="shared" ref="I145:AG145" si="22">IF(I$138&lt;=$I$14, H$145-H$147, 0)</f>
        <v>1267340300.1923404</v>
      </c>
      <c r="J145" s="126">
        <f t="shared" ca="1" si="22"/>
        <v>1118754232.1022477</v>
      </c>
      <c r="K145" s="59">
        <f t="shared" ca="1" si="22"/>
        <v>1011387854.4237037</v>
      </c>
      <c r="L145" s="59">
        <f t="shared" ca="1" si="22"/>
        <v>895789537.72478497</v>
      </c>
      <c r="M145" s="59">
        <f t="shared" ca="1" si="22"/>
        <v>868445794.7761538</v>
      </c>
      <c r="N145" s="59">
        <f t="shared" ca="1" si="22"/>
        <v>840290203.78096294</v>
      </c>
      <c r="O145" s="59">
        <f t="shared" ca="1" si="22"/>
        <v>811165842.65604293</v>
      </c>
      <c r="P145" s="59">
        <f t="shared" ca="1" si="22"/>
        <v>780897291.27549708</v>
      </c>
      <c r="Q145" s="59">
        <f t="shared" ca="1" si="22"/>
        <v>749312935.16610658</v>
      </c>
      <c r="R145" s="59">
        <f t="shared" ca="1" si="22"/>
        <v>715281290.69046128</v>
      </c>
      <c r="S145" s="59">
        <f t="shared" ca="1" si="22"/>
        <v>678540617.58146954</v>
      </c>
      <c r="T145" s="59">
        <f t="shared" ca="1" si="22"/>
        <v>638857139.39362633</v>
      </c>
      <c r="U145" s="59">
        <f t="shared" ca="1" si="22"/>
        <v>595971168.35367584</v>
      </c>
      <c r="V145" s="59">
        <f t="shared" ca="1" si="22"/>
        <v>549594652.28493536</v>
      </c>
      <c r="W145" s="59">
        <f t="shared" ca="1" si="22"/>
        <v>499420838.77330768</v>
      </c>
      <c r="X145" s="59">
        <f t="shared" ca="1" si="22"/>
        <v>445113107.57423532</v>
      </c>
      <c r="Y145" s="59">
        <f t="shared" ca="1" si="22"/>
        <v>386292122.79817373</v>
      </c>
      <c r="Z145" s="59">
        <f t="shared" ca="1" si="22"/>
        <v>322558142.9941169</v>
      </c>
      <c r="AA145" s="59">
        <f t="shared" ca="1" si="22"/>
        <v>253461112.92739609</v>
      </c>
      <c r="AB145" s="59">
        <f t="shared" ca="1" si="22"/>
        <v>178518581.68338877</v>
      </c>
      <c r="AC145" s="59">
        <f t="shared" si="22"/>
        <v>0</v>
      </c>
      <c r="AD145" s="59">
        <f t="shared" si="22"/>
        <v>0</v>
      </c>
      <c r="AE145" s="59">
        <f t="shared" si="22"/>
        <v>0</v>
      </c>
      <c r="AF145" s="59">
        <f t="shared" si="22"/>
        <v>0</v>
      </c>
      <c r="AG145" s="59">
        <f t="shared" si="22"/>
        <v>0</v>
      </c>
      <c r="AH145" s="59"/>
      <c r="AI145" s="59"/>
      <c r="AJ145" s="59"/>
      <c r="AK145" s="59"/>
      <c r="AL145" s="59"/>
      <c r="AM145" s="59"/>
      <c r="AN145" s="59"/>
      <c r="AO145" s="59"/>
      <c r="AP145" s="59"/>
      <c r="AQ145" s="59"/>
    </row>
    <row r="146" spans="1:43" s="36" customFormat="1" ht="15" hidden="1" customHeight="1" outlineLevel="1" x14ac:dyDescent="0.35">
      <c r="A146" s="36">
        <f>A145+1</f>
        <v>51</v>
      </c>
      <c r="D146" s="36" t="s">
        <v>178</v>
      </c>
      <c r="E146" s="36" t="s">
        <v>259</v>
      </c>
      <c r="F146" s="54" t="str">
        <f t="shared" si="16"/>
        <v>[51]</v>
      </c>
      <c r="G146" s="2145" t="s">
        <v>39</v>
      </c>
      <c r="H146" s="94"/>
      <c r="I146" s="126">
        <f t="shared" ref="I146:AG146" si="23">IF(I$138=1, I$145*((1+$I$129)^0.5 - 1), I$145*$I$129)</f>
        <v>36234868.260988638</v>
      </c>
      <c r="J146" s="126">
        <f t="shared" ca="1" si="23"/>
        <v>64887745.461930372</v>
      </c>
      <c r="K146" s="59">
        <f t="shared" ca="1" si="23"/>
        <v>58660495.556574814</v>
      </c>
      <c r="L146" s="59">
        <f t="shared" ca="1" si="23"/>
        <v>51955793.18803753</v>
      </c>
      <c r="M146" s="59">
        <f t="shared" ca="1" si="23"/>
        <v>50369856.097016923</v>
      </c>
      <c r="N146" s="59">
        <f t="shared" ca="1" si="23"/>
        <v>48736831.819295853</v>
      </c>
      <c r="O146" s="59">
        <f t="shared" ca="1" si="23"/>
        <v>47047618.874050491</v>
      </c>
      <c r="P146" s="59">
        <f t="shared" ca="1" si="23"/>
        <v>45292042.893978834</v>
      </c>
      <c r="Q146" s="59">
        <f t="shared" ca="1" si="23"/>
        <v>43460150.239634186</v>
      </c>
      <c r="R146" s="59">
        <f t="shared" ca="1" si="23"/>
        <v>41486314.860046759</v>
      </c>
      <c r="S146" s="59">
        <f t="shared" ca="1" si="23"/>
        <v>39355355.819725238</v>
      </c>
      <c r="T146" s="59">
        <f t="shared" ca="1" si="23"/>
        <v>37053714.084830329</v>
      </c>
      <c r="U146" s="59">
        <f t="shared" ca="1" si="23"/>
        <v>34566327.764513202</v>
      </c>
      <c r="V146" s="59">
        <f t="shared" ca="1" si="23"/>
        <v>31876489.832526252</v>
      </c>
      <c r="W146" s="59">
        <f t="shared" ca="1" si="23"/>
        <v>28966408.648851845</v>
      </c>
      <c r="X146" s="59">
        <f t="shared" ca="1" si="23"/>
        <v>25816560.239305649</v>
      </c>
      <c r="Y146" s="59">
        <f t="shared" ca="1" si="23"/>
        <v>22404943.122294076</v>
      </c>
      <c r="Z146" s="59">
        <f t="shared" ca="1" si="23"/>
        <v>18708372.293658782</v>
      </c>
      <c r="AA146" s="59">
        <f t="shared" ca="1" si="23"/>
        <v>14700744.549788974</v>
      </c>
      <c r="AB146" s="59">
        <f t="shared" ca="1" si="23"/>
        <v>10354077.737636549</v>
      </c>
      <c r="AC146" s="59">
        <f t="shared" si="23"/>
        <v>0</v>
      </c>
      <c r="AD146" s="59">
        <f t="shared" si="23"/>
        <v>0</v>
      </c>
      <c r="AE146" s="59">
        <f t="shared" si="23"/>
        <v>0</v>
      </c>
      <c r="AF146" s="59">
        <f t="shared" si="23"/>
        <v>0</v>
      </c>
      <c r="AG146" s="59">
        <f t="shared" si="23"/>
        <v>0</v>
      </c>
      <c r="AH146" s="59"/>
      <c r="AI146" s="59"/>
      <c r="AJ146" s="59"/>
      <c r="AK146" s="59"/>
      <c r="AL146" s="59"/>
      <c r="AM146" s="59"/>
      <c r="AN146" s="59"/>
      <c r="AO146" s="59"/>
      <c r="AP146" s="59"/>
      <c r="AQ146" s="59"/>
    </row>
    <row r="147" spans="1:43" s="36" customFormat="1" ht="15" hidden="1" customHeight="1" outlineLevel="1" x14ac:dyDescent="0.35">
      <c r="A147" s="36">
        <f>A146+1</f>
        <v>52</v>
      </c>
      <c r="D147" s="36" t="s">
        <v>184</v>
      </c>
      <c r="E147" s="36" t="s">
        <v>259</v>
      </c>
      <c r="F147" s="54" t="str">
        <f t="shared" si="16"/>
        <v>[52]</v>
      </c>
      <c r="G147" s="285" t="str">
        <f>$F$130&amp;" x "&amp;$F$143</f>
        <v>[41] x [49]</v>
      </c>
      <c r="H147" s="126">
        <f>-($I$13*$I$21*$I$130*1000)</f>
        <v>-1267340300.1923404</v>
      </c>
      <c r="I147" s="126">
        <f t="shared" ref="I147:AG147" ca="1" si="24">$I$130*I$143</f>
        <v>148586068.09009254</v>
      </c>
      <c r="J147" s="59">
        <f t="shared" ca="1" si="24"/>
        <v>107366377.6785441</v>
      </c>
      <c r="K147" s="59">
        <f t="shared" ca="1" si="24"/>
        <v>115598316.6989187</v>
      </c>
      <c r="L147" s="59">
        <f t="shared" ca="1" si="24"/>
        <v>27343742.948631171</v>
      </c>
      <c r="M147" s="59">
        <f t="shared" ca="1" si="24"/>
        <v>28155590.995190904</v>
      </c>
      <c r="N147" s="59">
        <f t="shared" ca="1" si="24"/>
        <v>29124361.124920044</v>
      </c>
      <c r="O147" s="59">
        <f t="shared" ca="1" si="24"/>
        <v>30268551.380545873</v>
      </c>
      <c r="P147" s="59">
        <f t="shared" ca="1" si="24"/>
        <v>31584356.109390501</v>
      </c>
      <c r="Q147" s="59">
        <f t="shared" ca="1" si="24"/>
        <v>34031644.475645356</v>
      </c>
      <c r="R147" s="59">
        <f t="shared" ca="1" si="24"/>
        <v>36740673.10899172</v>
      </c>
      <c r="S147" s="59">
        <f t="shared" ca="1" si="24"/>
        <v>39683478.187843159</v>
      </c>
      <c r="T147" s="59">
        <f t="shared" ca="1" si="24"/>
        <v>42885971.039950542</v>
      </c>
      <c r="U147" s="59">
        <f t="shared" ca="1" si="24"/>
        <v>46376516.068740487</v>
      </c>
      <c r="V147" s="59">
        <f t="shared" ca="1" si="24"/>
        <v>50173813.511627667</v>
      </c>
      <c r="W147" s="59">
        <f t="shared" ca="1" si="24"/>
        <v>54307731.199072361</v>
      </c>
      <c r="X147" s="59">
        <f t="shared" ca="1" si="24"/>
        <v>58820984.776061602</v>
      </c>
      <c r="Y147" s="59">
        <f t="shared" ca="1" si="24"/>
        <v>63733979.804056816</v>
      </c>
      <c r="Z147" s="59">
        <f t="shared" ca="1" si="24"/>
        <v>69097030.066720814</v>
      </c>
      <c r="AA147" s="59">
        <f t="shared" ca="1" si="24"/>
        <v>74942531.244007319</v>
      </c>
      <c r="AB147" s="59">
        <f t="shared" ca="1" si="24"/>
        <v>81322457.56375055</v>
      </c>
      <c r="AC147" s="59">
        <f t="shared" si="24"/>
        <v>4929167.2179729212</v>
      </c>
      <c r="AD147" s="59">
        <f t="shared" si="24"/>
        <v>0</v>
      </c>
      <c r="AE147" s="59">
        <f t="shared" si="24"/>
        <v>0</v>
      </c>
      <c r="AF147" s="59">
        <f t="shared" si="24"/>
        <v>0</v>
      </c>
      <c r="AG147" s="59">
        <f t="shared" si="24"/>
        <v>0</v>
      </c>
      <c r="AH147" s="59"/>
      <c r="AI147" s="59"/>
      <c r="AJ147" s="59"/>
      <c r="AK147" s="59"/>
      <c r="AL147" s="59"/>
      <c r="AM147" s="59"/>
      <c r="AN147" s="59"/>
      <c r="AO147" s="59"/>
      <c r="AP147" s="59"/>
      <c r="AQ147" s="59"/>
    </row>
    <row r="148" spans="1:43" s="36" customFormat="1" ht="15" hidden="1" customHeight="1" outlineLevel="1" x14ac:dyDescent="0.35">
      <c r="A148" s="36">
        <f>A147+1</f>
        <v>53</v>
      </c>
      <c r="D148" s="58" t="s">
        <v>185</v>
      </c>
      <c r="E148" s="36" t="s">
        <v>259</v>
      </c>
      <c r="F148" s="54" t="str">
        <f t="shared" si="16"/>
        <v>[53]</v>
      </c>
      <c r="G148" s="285" t="str">
        <f>$F$146&amp;" + "&amp;$F$147</f>
        <v>[51] + [52]</v>
      </c>
      <c r="H148" s="126">
        <f t="shared" ref="H148:AG148" si="25">H$146+H$147</f>
        <v>-1267340300.1923404</v>
      </c>
      <c r="I148" s="126">
        <f t="shared" ca="1" si="25"/>
        <v>184820936.35108119</v>
      </c>
      <c r="J148" s="59">
        <f t="shared" ca="1" si="25"/>
        <v>172254123.14047447</v>
      </c>
      <c r="K148" s="59">
        <f t="shared" ca="1" si="25"/>
        <v>174258812.25549352</v>
      </c>
      <c r="L148" s="59">
        <f t="shared" ca="1" si="25"/>
        <v>79299536.136668697</v>
      </c>
      <c r="M148" s="59">
        <f t="shared" ca="1" si="25"/>
        <v>78525447.092207819</v>
      </c>
      <c r="N148" s="59">
        <f t="shared" ca="1" si="25"/>
        <v>77861192.944215894</v>
      </c>
      <c r="O148" s="59">
        <f t="shared" ca="1" si="25"/>
        <v>77316170.254596367</v>
      </c>
      <c r="P148" s="59">
        <f t="shared" ca="1" si="25"/>
        <v>76876399.003369331</v>
      </c>
      <c r="Q148" s="59">
        <f t="shared" ca="1" si="25"/>
        <v>77491794.715279549</v>
      </c>
      <c r="R148" s="59">
        <f t="shared" ca="1" si="25"/>
        <v>78226987.969038486</v>
      </c>
      <c r="S148" s="59">
        <f t="shared" ca="1" si="25"/>
        <v>79038834.007568389</v>
      </c>
      <c r="T148" s="59">
        <f t="shared" ca="1" si="25"/>
        <v>79939685.124780864</v>
      </c>
      <c r="U148" s="59">
        <f t="shared" ca="1" si="25"/>
        <v>80942843.833253682</v>
      </c>
      <c r="V148" s="59">
        <f t="shared" ca="1" si="25"/>
        <v>82050303.344153911</v>
      </c>
      <c r="W148" s="59">
        <f t="shared" ca="1" si="25"/>
        <v>83274139.847924203</v>
      </c>
      <c r="X148" s="59">
        <f t="shared" ca="1" si="25"/>
        <v>84637545.015367255</v>
      </c>
      <c r="Y148" s="59">
        <f t="shared" ca="1" si="25"/>
        <v>86138922.926350892</v>
      </c>
      <c r="Z148" s="59">
        <f t="shared" ca="1" si="25"/>
        <v>87805402.360379592</v>
      </c>
      <c r="AA148" s="59">
        <f t="shared" ca="1" si="25"/>
        <v>89643275.793796301</v>
      </c>
      <c r="AB148" s="59">
        <f t="shared" ca="1" si="25"/>
        <v>91676535.301387101</v>
      </c>
      <c r="AC148" s="59">
        <f t="shared" si="25"/>
        <v>4929167.2179729212</v>
      </c>
      <c r="AD148" s="59">
        <f t="shared" si="25"/>
        <v>0</v>
      </c>
      <c r="AE148" s="59">
        <f t="shared" si="25"/>
        <v>0</v>
      </c>
      <c r="AF148" s="59">
        <f t="shared" si="25"/>
        <v>0</v>
      </c>
      <c r="AG148" s="59">
        <f t="shared" si="25"/>
        <v>0</v>
      </c>
      <c r="AH148" s="59"/>
      <c r="AI148" s="59"/>
      <c r="AJ148" s="59"/>
      <c r="AK148" s="59"/>
      <c r="AL148" s="59"/>
      <c r="AM148" s="59"/>
      <c r="AN148" s="59"/>
      <c r="AO148" s="59"/>
      <c r="AP148" s="59"/>
      <c r="AQ148" s="59"/>
    </row>
    <row r="149" spans="1:43" s="36" customFormat="1" ht="15" hidden="1" customHeight="1" outlineLevel="1" x14ac:dyDescent="0.35">
      <c r="A149" s="36">
        <f>A148+1</f>
        <v>54</v>
      </c>
      <c r="D149" s="58" t="s">
        <v>186</v>
      </c>
      <c r="E149" s="36" t="s">
        <v>259</v>
      </c>
      <c r="F149" s="54" t="str">
        <f t="shared" si="16"/>
        <v>[54]</v>
      </c>
      <c r="G149" s="2145" t="s">
        <v>39</v>
      </c>
      <c r="H149" s="59">
        <f ca="1">NPV($I$129, $I$148:$AG$148)*(1+$I$129)^0.5</f>
        <v>1236519371.4642842</v>
      </c>
      <c r="I149" s="94"/>
    </row>
    <row r="150" spans="1:43" s="36" customFormat="1" ht="15" hidden="1" customHeight="1" outlineLevel="1" x14ac:dyDescent="0.35">
      <c r="A150" s="36">
        <f>A149+1</f>
        <v>55</v>
      </c>
      <c r="D150" s="58" t="s">
        <v>189</v>
      </c>
      <c r="F150" s="54" t="str">
        <f t="shared" si="16"/>
        <v>[55]</v>
      </c>
      <c r="G150" s="285" t="s">
        <v>39</v>
      </c>
      <c r="H150" s="60" t="b">
        <f ca="1">ABS((H148+H149)/H148)&lt;0.001</f>
        <v>0</v>
      </c>
      <c r="I150" s="94"/>
    </row>
    <row r="151" spans="1:43" s="36" customFormat="1" ht="6" hidden="1" customHeight="1" outlineLevel="1" x14ac:dyDescent="0.35">
      <c r="D151" s="58"/>
      <c r="F151" s="54"/>
      <c r="G151" s="285"/>
      <c r="I151" s="94"/>
    </row>
    <row r="152" spans="1:43" s="36" customFormat="1" ht="15" hidden="1" customHeight="1" outlineLevel="1" x14ac:dyDescent="0.35">
      <c r="A152" s="36">
        <f>A150+1</f>
        <v>56</v>
      </c>
      <c r="D152" s="36" t="s">
        <v>190</v>
      </c>
      <c r="E152" s="36" t="s">
        <v>259</v>
      </c>
      <c r="F152" s="54" t="str">
        <f t="shared" si="16"/>
        <v>[56]</v>
      </c>
      <c r="G152" s="2145" t="s">
        <v>39</v>
      </c>
      <c r="I152" s="126">
        <f t="shared" ref="I152:AG152" si="26">IF(I$138&lt;=$I$14, H$152-H$154, 0)</f>
        <v>1036914791.06646</v>
      </c>
      <c r="J152" s="126">
        <f t="shared" ca="1" si="26"/>
        <v>915344371.72002065</v>
      </c>
      <c r="K152" s="59">
        <f t="shared" ca="1" si="26"/>
        <v>827499153.61939371</v>
      </c>
      <c r="L152" s="59">
        <f t="shared" ca="1" si="26"/>
        <v>732918712.68391478</v>
      </c>
      <c r="M152" s="59">
        <f t="shared" ca="1" si="26"/>
        <v>710546559.36230743</v>
      </c>
      <c r="N152" s="59">
        <f t="shared" ca="1" si="26"/>
        <v>687510166.72987854</v>
      </c>
      <c r="O152" s="59">
        <f t="shared" ca="1" si="26"/>
        <v>663681143.99130762</v>
      </c>
      <c r="P152" s="59">
        <f t="shared" ca="1" si="26"/>
        <v>638915965.58904278</v>
      </c>
      <c r="Q152" s="59">
        <f t="shared" ca="1" si="26"/>
        <v>613074219.68135965</v>
      </c>
      <c r="R152" s="59">
        <f t="shared" ca="1" si="26"/>
        <v>585230146.92855895</v>
      </c>
      <c r="S152" s="59">
        <f t="shared" ca="1" si="26"/>
        <v>555169596.20302022</v>
      </c>
      <c r="T152" s="59">
        <f t="shared" ca="1" si="26"/>
        <v>522701295.86751217</v>
      </c>
      <c r="U152" s="59">
        <f t="shared" ca="1" si="26"/>
        <v>487612774.10755265</v>
      </c>
      <c r="V152" s="59">
        <f t="shared" ca="1" si="26"/>
        <v>449668351.86949229</v>
      </c>
      <c r="W152" s="59">
        <f t="shared" ca="1" si="26"/>
        <v>408617049.9054333</v>
      </c>
      <c r="X152" s="59">
        <f t="shared" ca="1" si="26"/>
        <v>364183451.65164685</v>
      </c>
      <c r="Y152" s="59">
        <f t="shared" ca="1" si="26"/>
        <v>316057191.38032371</v>
      </c>
      <c r="Z152" s="59">
        <f t="shared" ca="1" si="26"/>
        <v>263911207.90427724</v>
      </c>
      <c r="AA152" s="59">
        <f t="shared" ca="1" si="26"/>
        <v>207377274.21332386</v>
      </c>
      <c r="AB152" s="59">
        <f t="shared" ca="1" si="26"/>
        <v>146060657.74095425</v>
      </c>
      <c r="AC152" s="59">
        <f t="shared" si="26"/>
        <v>0</v>
      </c>
      <c r="AD152" s="59">
        <f t="shared" si="26"/>
        <v>0</v>
      </c>
      <c r="AE152" s="59">
        <f t="shared" si="26"/>
        <v>0</v>
      </c>
      <c r="AF152" s="59">
        <f t="shared" si="26"/>
        <v>0</v>
      </c>
      <c r="AG152" s="59">
        <f t="shared" si="26"/>
        <v>0</v>
      </c>
      <c r="AH152" s="59"/>
      <c r="AI152" s="59"/>
      <c r="AJ152" s="59"/>
      <c r="AK152" s="59"/>
      <c r="AL152" s="59"/>
      <c r="AM152" s="59"/>
      <c r="AN152" s="59"/>
      <c r="AO152" s="59"/>
      <c r="AP152" s="59"/>
      <c r="AQ152" s="59"/>
    </row>
    <row r="153" spans="1:43" s="36" customFormat="1" ht="15" hidden="1" customHeight="1" outlineLevel="1" x14ac:dyDescent="0.35">
      <c r="A153" s="36">
        <f>A152+1</f>
        <v>57</v>
      </c>
      <c r="D153" s="36" t="s">
        <v>182</v>
      </c>
      <c r="E153" s="36" t="s">
        <v>259</v>
      </c>
      <c r="F153" s="54" t="str">
        <f t="shared" si="16"/>
        <v>[57]</v>
      </c>
      <c r="G153" s="2145" t="s">
        <v>39</v>
      </c>
      <c r="I153" s="126">
        <f t="shared" ref="I153:AG153" si="27">IF(I$138=1, I$152*((1+$I$131)^0.5 - 1), I$152*$I$131)</f>
        <v>79876617.103205457</v>
      </c>
      <c r="J153" s="126">
        <f t="shared" ca="1" si="27"/>
        <v>146455099.47520331</v>
      </c>
      <c r="K153" s="59">
        <f t="shared" ca="1" si="27"/>
        <v>132399864.57910299</v>
      </c>
      <c r="L153" s="59">
        <f t="shared" ca="1" si="27"/>
        <v>117266994.02942637</v>
      </c>
      <c r="M153" s="59">
        <f t="shared" ca="1" si="27"/>
        <v>113687449.4979692</v>
      </c>
      <c r="N153" s="59">
        <f t="shared" ca="1" si="27"/>
        <v>110001626.67678057</v>
      </c>
      <c r="O153" s="59">
        <f t="shared" ca="1" si="27"/>
        <v>106188983.03860922</v>
      </c>
      <c r="P153" s="59">
        <f t="shared" ca="1" si="27"/>
        <v>102226554.49424684</v>
      </c>
      <c r="Q153" s="59">
        <f t="shared" ca="1" si="27"/>
        <v>98091875.149017543</v>
      </c>
      <c r="R153" s="59">
        <f t="shared" ca="1" si="27"/>
        <v>93636823.508569434</v>
      </c>
      <c r="S153" s="59">
        <f t="shared" ca="1" si="27"/>
        <v>88827135.392483234</v>
      </c>
      <c r="T153" s="59">
        <f t="shared" ca="1" si="27"/>
        <v>83632207.33880195</v>
      </c>
      <c r="U153" s="59">
        <f t="shared" ca="1" si="27"/>
        <v>78018043.857208431</v>
      </c>
      <c r="V153" s="59">
        <f t="shared" ca="1" si="27"/>
        <v>71946936.299118772</v>
      </c>
      <c r="W153" s="59">
        <f t="shared" ca="1" si="27"/>
        <v>65378727.984869331</v>
      </c>
      <c r="X153" s="59">
        <f t="shared" ca="1" si="27"/>
        <v>58269352.264263496</v>
      </c>
      <c r="Y153" s="59">
        <f t="shared" ca="1" si="27"/>
        <v>50569150.620851792</v>
      </c>
      <c r="Z153" s="59">
        <f t="shared" ca="1" si="27"/>
        <v>42225793.264684357</v>
      </c>
      <c r="AA153" s="59">
        <f t="shared" ca="1" si="27"/>
        <v>33180363.874131817</v>
      </c>
      <c r="AB153" s="59">
        <f t="shared" ca="1" si="27"/>
        <v>23369705.238552682</v>
      </c>
      <c r="AC153" s="59">
        <f t="shared" si="27"/>
        <v>0</v>
      </c>
      <c r="AD153" s="59">
        <f t="shared" si="27"/>
        <v>0</v>
      </c>
      <c r="AE153" s="59">
        <f t="shared" si="27"/>
        <v>0</v>
      </c>
      <c r="AF153" s="59">
        <f t="shared" si="27"/>
        <v>0</v>
      </c>
      <c r="AG153" s="59">
        <f t="shared" si="27"/>
        <v>0</v>
      </c>
      <c r="AH153" s="59"/>
      <c r="AI153" s="59"/>
      <c r="AJ153" s="59"/>
      <c r="AK153" s="59"/>
      <c r="AL153" s="59"/>
      <c r="AM153" s="59"/>
      <c r="AN153" s="59"/>
      <c r="AO153" s="59"/>
      <c r="AP153" s="59"/>
      <c r="AQ153" s="59"/>
    </row>
    <row r="154" spans="1:43" s="36" customFormat="1" ht="15" hidden="1" customHeight="1" outlineLevel="1" x14ac:dyDescent="0.35">
      <c r="A154" s="36">
        <f>A153+1</f>
        <v>58</v>
      </c>
      <c r="D154" s="36" t="s">
        <v>191</v>
      </c>
      <c r="E154" s="36" t="s">
        <v>259</v>
      </c>
      <c r="F154" s="54" t="str">
        <f t="shared" si="16"/>
        <v>[58]</v>
      </c>
      <c r="G154" s="285" t="str">
        <f>$F$134&amp;" x "&amp;$F$143</f>
        <v>[43] x [49]</v>
      </c>
      <c r="H154" s="126">
        <f>-($I$13*$I$21*$I$134*1000)</f>
        <v>-1036914791.06646</v>
      </c>
      <c r="I154" s="126">
        <f ca="1">$I$134*I$143</f>
        <v>121570419.34643932</v>
      </c>
      <c r="J154" s="126">
        <f t="shared" ref="J154:AG154" ca="1" si="28">$I$134*J$143</f>
        <v>87845218.100626975</v>
      </c>
      <c r="K154" s="126">
        <f t="shared" ca="1" si="28"/>
        <v>94580440.935478926</v>
      </c>
      <c r="L154" s="126">
        <f t="shared" ca="1" si="28"/>
        <v>22372153.321607318</v>
      </c>
      <c r="M154" s="126">
        <f t="shared" ca="1" si="28"/>
        <v>23036392.632428914</v>
      </c>
      <c r="N154" s="126">
        <f t="shared" ca="1" si="28"/>
        <v>23829022.73857094</v>
      </c>
      <c r="O154" s="126">
        <f t="shared" ca="1" si="28"/>
        <v>24765178.4022648</v>
      </c>
      <c r="P154" s="126">
        <f t="shared" ca="1" si="28"/>
        <v>25841745.90768313</v>
      </c>
      <c r="Q154" s="126">
        <f t="shared" ca="1" si="28"/>
        <v>27844072.75280074</v>
      </c>
      <c r="R154" s="126">
        <f t="shared" ca="1" si="28"/>
        <v>30060550.725538675</v>
      </c>
      <c r="S154" s="126">
        <f t="shared" ca="1" si="28"/>
        <v>32468300.335508034</v>
      </c>
      <c r="T154" s="126">
        <f t="shared" ca="1" si="28"/>
        <v>35088521.759959526</v>
      </c>
      <c r="U154" s="126">
        <f t="shared" ca="1" si="28"/>
        <v>37944422.238060385</v>
      </c>
      <c r="V154" s="126">
        <f t="shared" ca="1" si="28"/>
        <v>41051301.964058988</v>
      </c>
      <c r="W154" s="126">
        <f t="shared" ca="1" si="28"/>
        <v>44433598.253786474</v>
      </c>
      <c r="X154" s="126">
        <f t="shared" ca="1" si="28"/>
        <v>48126260.271323122</v>
      </c>
      <c r="Y154" s="126">
        <f t="shared" ca="1" si="28"/>
        <v>52145983.47604648</v>
      </c>
      <c r="Z154" s="126">
        <f t="shared" ca="1" si="28"/>
        <v>56533933.690953381</v>
      </c>
      <c r="AA154" s="126">
        <f t="shared" ca="1" si="28"/>
        <v>61316616.472369611</v>
      </c>
      <c r="AB154" s="126">
        <f t="shared" ca="1" si="28"/>
        <v>66536556.188523166</v>
      </c>
      <c r="AC154" s="126">
        <f t="shared" si="28"/>
        <v>4032954.9965232983</v>
      </c>
      <c r="AD154" s="126">
        <f t="shared" si="28"/>
        <v>0</v>
      </c>
      <c r="AE154" s="126">
        <f t="shared" si="28"/>
        <v>0</v>
      </c>
      <c r="AF154" s="126">
        <f t="shared" si="28"/>
        <v>0</v>
      </c>
      <c r="AG154" s="126">
        <f t="shared" si="28"/>
        <v>0</v>
      </c>
      <c r="AH154" s="59"/>
      <c r="AI154" s="59"/>
      <c r="AJ154" s="59"/>
      <c r="AK154" s="59"/>
      <c r="AL154" s="59"/>
      <c r="AM154" s="59"/>
      <c r="AN154" s="59"/>
      <c r="AO154" s="59"/>
      <c r="AP154" s="59"/>
      <c r="AQ154" s="59"/>
    </row>
    <row r="155" spans="1:43" s="36" customFormat="1" ht="15" hidden="1" customHeight="1" outlineLevel="1" x14ac:dyDescent="0.35">
      <c r="A155" s="36">
        <f>A154+1</f>
        <v>59</v>
      </c>
      <c r="D155" s="58" t="s">
        <v>192</v>
      </c>
      <c r="E155" s="36" t="s">
        <v>259</v>
      </c>
      <c r="F155" s="54" t="str">
        <f t="shared" si="16"/>
        <v>[59]</v>
      </c>
      <c r="G155" s="285" t="str">
        <f>$F$153&amp;" + "&amp;$F$154</f>
        <v>[57] + [58]</v>
      </c>
      <c r="H155" s="59">
        <f>H$153+H$154</f>
        <v>-1036914791.06646</v>
      </c>
      <c r="I155" s="126">
        <f ca="1">I$153+I$154</f>
        <v>201447036.44964477</v>
      </c>
      <c r="J155" s="126">
        <f t="shared" ref="J155:AG155" ca="1" si="29">J$153+J$154</f>
        <v>234300317.57583028</v>
      </c>
      <c r="K155" s="126">
        <f t="shared" ca="1" si="29"/>
        <v>226980305.51458192</v>
      </c>
      <c r="L155" s="126">
        <f t="shared" ca="1" si="29"/>
        <v>139639147.35103369</v>
      </c>
      <c r="M155" s="126">
        <f t="shared" ca="1" si="29"/>
        <v>136723842.13039809</v>
      </c>
      <c r="N155" s="126">
        <f t="shared" ca="1" si="29"/>
        <v>133830649.41535151</v>
      </c>
      <c r="O155" s="126">
        <f t="shared" ca="1" si="29"/>
        <v>130954161.44087403</v>
      </c>
      <c r="P155" s="126">
        <f t="shared" ca="1" si="29"/>
        <v>128068300.40192997</v>
      </c>
      <c r="Q155" s="126">
        <f t="shared" ca="1" si="29"/>
        <v>125935947.90181828</v>
      </c>
      <c r="R155" s="126">
        <f t="shared" ca="1" si="29"/>
        <v>123697374.23410811</v>
      </c>
      <c r="S155" s="126">
        <f t="shared" ca="1" si="29"/>
        <v>121295435.72799127</v>
      </c>
      <c r="T155" s="126">
        <f t="shared" ca="1" si="29"/>
        <v>118720729.09876147</v>
      </c>
      <c r="U155" s="126">
        <f t="shared" ca="1" si="29"/>
        <v>115962466.09526882</v>
      </c>
      <c r="V155" s="126">
        <f t="shared" ca="1" si="29"/>
        <v>112998238.26317775</v>
      </c>
      <c r="W155" s="126">
        <f t="shared" ca="1" si="29"/>
        <v>109812326.23865581</v>
      </c>
      <c r="X155" s="126">
        <f t="shared" ca="1" si="29"/>
        <v>106395612.53558663</v>
      </c>
      <c r="Y155" s="126">
        <f t="shared" ca="1" si="29"/>
        <v>102715134.09689827</v>
      </c>
      <c r="Z155" s="126">
        <f t="shared" ca="1" si="29"/>
        <v>98759726.955637738</v>
      </c>
      <c r="AA155" s="126">
        <f t="shared" ca="1" si="29"/>
        <v>94496980.346501425</v>
      </c>
      <c r="AB155" s="126">
        <f t="shared" ca="1" si="29"/>
        <v>89906261.427075848</v>
      </c>
      <c r="AC155" s="126">
        <f t="shared" si="29"/>
        <v>4032954.9965232983</v>
      </c>
      <c r="AD155" s="126">
        <f t="shared" si="29"/>
        <v>0</v>
      </c>
      <c r="AE155" s="126">
        <f t="shared" si="29"/>
        <v>0</v>
      </c>
      <c r="AF155" s="126">
        <f t="shared" si="29"/>
        <v>0</v>
      </c>
      <c r="AG155" s="126">
        <f t="shared" si="29"/>
        <v>0</v>
      </c>
      <c r="AH155" s="59"/>
      <c r="AI155" s="59"/>
      <c r="AJ155" s="59"/>
      <c r="AK155" s="59"/>
      <c r="AL155" s="59"/>
      <c r="AM155" s="59"/>
      <c r="AN155" s="59"/>
      <c r="AO155" s="59"/>
      <c r="AP155" s="59"/>
      <c r="AQ155" s="59"/>
    </row>
    <row r="156" spans="1:43" s="36" customFormat="1" ht="15" hidden="1" customHeight="1" outlineLevel="1" x14ac:dyDescent="0.35">
      <c r="A156" s="36">
        <f>A155+1</f>
        <v>60</v>
      </c>
      <c r="D156" s="58" t="s">
        <v>193</v>
      </c>
      <c r="E156" s="36" t="s">
        <v>259</v>
      </c>
      <c r="F156" s="54" t="str">
        <f t="shared" si="16"/>
        <v>[60]</v>
      </c>
      <c r="G156" s="2145" t="s">
        <v>39</v>
      </c>
      <c r="H156" s="59">
        <f ca="1">NPV($I$131, $I$155:$AG$155)*(1+$I$131)^0.5</f>
        <v>1032706035.7973057</v>
      </c>
      <c r="I156" s="94"/>
    </row>
    <row r="157" spans="1:43" s="36" customFormat="1" ht="15" hidden="1" customHeight="1" outlineLevel="1" x14ac:dyDescent="0.35">
      <c r="A157" s="36">
        <f>A156+1</f>
        <v>61</v>
      </c>
      <c r="D157" s="58" t="s">
        <v>194</v>
      </c>
      <c r="F157" s="54" t="str">
        <f t="shared" si="16"/>
        <v>[61]</v>
      </c>
      <c r="G157" s="2145" t="s">
        <v>39</v>
      </c>
      <c r="H157" s="60" t="b">
        <f ca="1">ABS((H155+H156)/H155)&lt;0.001</f>
        <v>0</v>
      </c>
      <c r="I157" s="94"/>
    </row>
    <row r="158" spans="1:43" s="36" customFormat="1" ht="6" hidden="1" customHeight="1" outlineLevel="1" thickBot="1" x14ac:dyDescent="0.4">
      <c r="D158" s="51"/>
      <c r="E158" s="51"/>
      <c r="F158" s="1659"/>
      <c r="G158" s="51"/>
      <c r="H158" s="51"/>
      <c r="I158" s="136"/>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2"/>
      <c r="AI158" s="52"/>
      <c r="AJ158" s="52"/>
      <c r="AK158" s="52"/>
      <c r="AL158" s="52"/>
      <c r="AM158" s="52"/>
      <c r="AN158" s="52"/>
      <c r="AO158" s="52"/>
      <c r="AP158" s="52"/>
      <c r="AQ158" s="52"/>
    </row>
    <row r="159" spans="1:43" s="36" customFormat="1" ht="6" hidden="1" customHeight="1" outlineLevel="1" thickTop="1" x14ac:dyDescent="0.35">
      <c r="D159" s="52"/>
      <c r="E159" s="52"/>
      <c r="F159" s="199"/>
      <c r="G159" s="52"/>
      <c r="H159" s="52"/>
      <c r="I159" s="200"/>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row>
    <row r="160" spans="1:43" s="36" customFormat="1" ht="15" hidden="1" customHeight="1" outlineLevel="1" x14ac:dyDescent="0.35">
      <c r="D160" s="205" t="s">
        <v>50</v>
      </c>
      <c r="E160" s="52"/>
      <c r="F160" s="199"/>
      <c r="G160" s="52"/>
      <c r="H160" s="52"/>
      <c r="I160" s="200"/>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row>
    <row r="161" spans="4:43" s="36" customFormat="1" ht="15" hidden="1" customHeight="1" outlineLevel="1" x14ac:dyDescent="0.35">
      <c r="D161" s="2146" t="str">
        <f>$F140&amp;": "&amp;$F$70&amp;" - "&amp;$F$72&amp;" - "&amp;$F$74&amp;" - "&amp;$F$139&amp;"."</f>
        <v>[46]: [30] - [31] - [32] - [45].</v>
      </c>
      <c r="E161" s="52"/>
      <c r="F161" s="199"/>
      <c r="G161" s="52"/>
      <c r="H161" s="52"/>
      <c r="I161" s="200"/>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row>
    <row r="162" spans="4:43" s="36" customFormat="1" ht="15" hidden="1" customHeight="1" outlineLevel="1" x14ac:dyDescent="0.35">
      <c r="D162" s="2146" t="str">
        <f>$F141&amp;": ("&amp;$F$27&amp;" x "&amp;$F$140&amp;") - "&amp;$F$77&amp;"."</f>
        <v>[47]: ([14] x [46]) - [34].</v>
      </c>
      <c r="E162" s="52"/>
      <c r="F162" s="199"/>
      <c r="G162" s="52"/>
      <c r="H162" s="52"/>
      <c r="I162" s="200"/>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row>
    <row r="163" spans="4:43" s="36" customFormat="1" ht="15" hidden="1" customHeight="1" outlineLevel="1" x14ac:dyDescent="0.35">
      <c r="D163" s="2146" t="str">
        <f>$F143&amp;": "&amp;$F$70&amp;" - "&amp;$F$72&amp;" - "&amp;$F$139&amp;" - "&amp;$F$141&amp;" - "&amp;$F$142&amp;"."</f>
        <v>[49]: [30] - [31] - [45] - [47] - [48].</v>
      </c>
      <c r="E163" s="52"/>
      <c r="F163" s="199"/>
      <c r="G163" s="52"/>
      <c r="H163" s="52"/>
      <c r="I163" s="200"/>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row>
    <row r="164" spans="4:43" s="36" customFormat="1" ht="15" hidden="1" customHeight="1" outlineLevel="1" x14ac:dyDescent="0.35">
      <c r="D164" s="2146" t="str">
        <f>$F145&amp;": If year &lt;= "&amp;$F$14&amp;": ("&amp;$F$145&amp;", Previous Year) - ("&amp;$F$147&amp;", Previous Year). If year &gt; "&amp;$F$14&amp;": 0."</f>
        <v>[50]: If year &lt;= [5]: ([50], Previous Year) - ([52], Previous Year). If year &gt; [5]: 0.</v>
      </c>
      <c r="E164" s="52"/>
      <c r="F164" s="199"/>
      <c r="G164" s="52"/>
      <c r="H164" s="52"/>
      <c r="I164" s="200"/>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row>
    <row r="165" spans="4:43" s="36" customFormat="1" ht="15" hidden="1" customHeight="1" outlineLevel="1" x14ac:dyDescent="0.35">
      <c r="D165" s="2146" t="str">
        <f>$F146&amp;": If year = 1: "&amp;$F$145&amp;" x ((1 + "&amp;$F$129&amp;")^0.5 - 1). If year &gt; 1, "&amp;$F$145&amp;" x "&amp;$F$129&amp;"."</f>
        <v>[51]: If year = 1: [50] x ((1 + [40])^0.5 - 1). If year &gt; 1, [50] x [40].</v>
      </c>
      <c r="E165" s="52"/>
      <c r="F165" s="199"/>
      <c r="G165" s="52"/>
      <c r="H165" s="52"/>
      <c r="I165" s="20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row>
    <row r="166" spans="4:43" s="36" customFormat="1" ht="15" hidden="1" customHeight="1" outlineLevel="1" x14ac:dyDescent="0.35">
      <c r="D166" s="2146" t="str">
        <f>$F149&amp;": NPV("&amp;$F$148&amp;" at "&amp;$F$129&amp;") x (1 + "&amp;$F$129&amp;")^0.5."</f>
        <v>[54]: NPV([53] at [40]) x (1 + [40])^0.5.</v>
      </c>
      <c r="E166" s="52"/>
      <c r="F166" s="199"/>
      <c r="G166" s="52"/>
      <c r="H166" s="52"/>
      <c r="I166" s="200"/>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row>
    <row r="167" spans="4:43" s="36" customFormat="1" ht="15" hidden="1" customHeight="1" outlineLevel="1" x14ac:dyDescent="0.35">
      <c r="D167" s="2146" t="str">
        <f>$F150&amp;": Checks if "&amp;$F$148&amp;" is within 0.1% of "&amp;$F$149&amp;"."</f>
        <v>[55]: Checks if [53] is within 0.1% of [54].</v>
      </c>
      <c r="E167" s="52"/>
      <c r="F167" s="199"/>
      <c r="G167" s="52"/>
      <c r="H167" s="52"/>
      <c r="I167" s="200"/>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row>
    <row r="168" spans="4:43" s="36" customFormat="1" ht="15" hidden="1" customHeight="1" outlineLevel="1" x14ac:dyDescent="0.35">
      <c r="D168" s="2146" t="str">
        <f>$F152&amp;": If year &lt;= "&amp;$F$14&amp;": ("&amp;$F$152&amp;", Previous Year) - ("&amp;$F$154&amp;", Previous Year). If year &gt; "&amp;$F$14&amp;": 0."</f>
        <v>[56]: If year &lt;= [5]: ([56], Previous Year) - ([58], Previous Year). If year &gt; [5]: 0.</v>
      </c>
      <c r="E168" s="52"/>
      <c r="F168" s="199"/>
      <c r="G168" s="52"/>
      <c r="H168" s="52"/>
      <c r="I168" s="200"/>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row>
    <row r="169" spans="4:43" s="36" customFormat="1" ht="15" hidden="1" customHeight="1" outlineLevel="1" x14ac:dyDescent="0.35">
      <c r="D169" s="2146" t="str">
        <f>$F153&amp;": If year = 1: "&amp;$F$152&amp;" x ((1 + "&amp;$F$131&amp;")^0.5 - 1). If year &gt; 1, "&amp;$F$152&amp;" x "&amp;$F$131&amp;"."</f>
        <v>[57]: If year = 1: [56] x ((1 + [42])^0.5 - 1). If year &gt; 1, [56] x [42].</v>
      </c>
      <c r="E169" s="52"/>
      <c r="F169" s="199"/>
      <c r="G169" s="52"/>
      <c r="H169" s="52"/>
      <c r="I169" s="200"/>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row>
    <row r="170" spans="4:43" s="36" customFormat="1" ht="15" hidden="1" customHeight="1" outlineLevel="1" x14ac:dyDescent="0.35">
      <c r="D170" s="2146" t="str">
        <f>$F156&amp;": NPV("&amp;$F$155&amp;" at "&amp;$F$131&amp;") x (1 + "&amp;$F$131&amp;")^0.5."</f>
        <v>[60]: NPV([59] at [42]) x (1 + [42])^0.5.</v>
      </c>
      <c r="E170" s="52"/>
      <c r="F170" s="199"/>
      <c r="G170" s="52"/>
      <c r="H170" s="52"/>
      <c r="I170" s="200"/>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row>
    <row r="171" spans="4:43" s="36" customFormat="1" ht="15" hidden="1" customHeight="1" outlineLevel="1" x14ac:dyDescent="0.35">
      <c r="D171" s="2146" t="str">
        <f>$F157&amp;": Checks if "&amp;$F$155&amp;" is within 0.1% of "&amp;$F$156&amp;"."</f>
        <v>[61]: Checks if [59] is within 0.1% of [60].</v>
      </c>
      <c r="E171" s="52"/>
      <c r="F171" s="199"/>
      <c r="G171" s="52"/>
      <c r="H171" s="52"/>
      <c r="I171" s="200"/>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row>
    <row r="172" spans="4:43" ht="15" customHeight="1" collapsed="1" x14ac:dyDescent="0.35"/>
  </sheetData>
  <mergeCells count="3">
    <mergeCell ref="K57:L57"/>
    <mergeCell ref="M57:N57"/>
    <mergeCell ref="M53:N53"/>
  </mergeCells>
  <conditionalFormatting sqref="H86">
    <cfRule type="cellIs" dxfId="48" priority="7" operator="equal">
      <formula>FALSE</formula>
    </cfRule>
    <cfRule type="cellIs" dxfId="47" priority="8" operator="equal">
      <formula>TRUE</formula>
    </cfRule>
  </conditionalFormatting>
  <conditionalFormatting sqref="H150">
    <cfRule type="cellIs" dxfId="46" priority="5" operator="equal">
      <formula>FALSE</formula>
    </cfRule>
    <cfRule type="cellIs" dxfId="45" priority="6" operator="equal">
      <formula>TRUE</formula>
    </cfRule>
  </conditionalFormatting>
  <conditionalFormatting sqref="H157">
    <cfRule type="cellIs" dxfId="44" priority="3" operator="equal">
      <formula>FALSE</formula>
    </cfRule>
    <cfRule type="cellIs" dxfId="43" priority="4" operator="equal">
      <formula>TRUE</formula>
    </cfRule>
  </conditionalFormatting>
  <conditionalFormatting sqref="P60">
    <cfRule type="containsText" dxfId="42" priority="1" operator="containsText" text="Rest of RTO">
      <formula>NOT(ISERROR(SEARCH("Rest of RTO",P60)))</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C2AF-3AAB-4940-BF67-7C7CB9B8B881}">
  <sheetPr codeName="Sheet16">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DCFA-DDFF-429F-991F-00941635B978}">
  <sheetPr codeName="Sheet17">
    <pageSetUpPr autoPageBreaks="0"/>
  </sheetPr>
  <dimension ref="A1:AV171"/>
  <sheetViews>
    <sheetView showGridLines="0" zoomScale="70" zoomScaleNormal="70" workbookViewId="0"/>
  </sheetViews>
  <sheetFormatPr defaultColWidth="8.7265625" defaultRowHeight="15" customHeight="1" outlineLevelRow="1" outlineLevelCol="1" x14ac:dyDescent="0.35"/>
  <cols>
    <col min="1" max="3" width="13.54296875" style="5" customWidth="1"/>
    <col min="4" max="4" width="54.54296875" style="5" customWidth="1"/>
    <col min="5" max="5" width="15.453125" style="5" bestFit="1" customWidth="1"/>
    <col min="6" max="6" width="11.81640625" style="5" customWidth="1"/>
    <col min="7" max="7" width="15.1796875" style="5" bestFit="1" customWidth="1"/>
    <col min="8" max="8" width="15.81640625" style="5" bestFit="1" customWidth="1"/>
    <col min="9" max="9" width="14.26953125" style="26" customWidth="1"/>
    <col min="10" max="33" width="14.26953125" style="5" customWidth="1"/>
    <col min="34" max="43" width="13.1796875" style="5" customWidth="1"/>
    <col min="44" max="45" width="8.7265625" style="5"/>
    <col min="46" max="46" width="33.81640625" style="36" hidden="1" customWidth="1" outlineLevel="1"/>
    <col min="47" max="47" width="26.54296875" style="36" hidden="1" customWidth="1" outlineLevel="1"/>
    <col min="48" max="48" width="8.7265625" style="5" collapsed="1"/>
    <col min="49" max="16384" width="8.7265625" style="5"/>
  </cols>
  <sheetData>
    <row r="1" spans="1:47" ht="15" customHeight="1" x14ac:dyDescent="0.35">
      <c r="A1" s="81" t="s">
        <v>275</v>
      </c>
      <c r="F1" s="17"/>
    </row>
    <row r="2" spans="1:47" ht="15" customHeight="1" x14ac:dyDescent="0.35">
      <c r="F2" s="17"/>
    </row>
    <row r="3" spans="1:47" ht="15" customHeight="1" x14ac:dyDescent="0.35">
      <c r="D3" s="9" t="str">
        <f>LEFT($D4, FIND(":",$D4)-1)</f>
        <v>Table A1</v>
      </c>
      <c r="F3" s="17"/>
    </row>
    <row r="4" spans="1:47" ht="15" customHeight="1" x14ac:dyDescent="0.35">
      <c r="D4" s="2" t="str">
        <f>ToC!$J$25</f>
        <v>Table A1: Cash Flows</v>
      </c>
      <c r="F4" s="17"/>
    </row>
    <row r="5" spans="1:47" ht="6" customHeight="1" thickBot="1" x14ac:dyDescent="0.4">
      <c r="D5" s="20"/>
      <c r="E5" s="20"/>
      <c r="F5" s="24"/>
      <c r="G5" s="20"/>
      <c r="H5" s="20"/>
      <c r="I5" s="44"/>
      <c r="J5" s="20"/>
      <c r="K5" s="20"/>
      <c r="L5" s="20"/>
      <c r="M5" s="20"/>
      <c r="N5" s="20"/>
      <c r="O5" s="20"/>
      <c r="P5" s="20"/>
      <c r="Q5" s="20"/>
      <c r="R5" s="20"/>
      <c r="S5" s="20"/>
      <c r="T5" s="20"/>
      <c r="U5" s="20"/>
      <c r="V5" s="20"/>
      <c r="W5" s="20"/>
      <c r="X5" s="20"/>
      <c r="Y5" s="20"/>
      <c r="Z5" s="20"/>
      <c r="AA5" s="20"/>
      <c r="AB5" s="20"/>
      <c r="AC5" s="20"/>
      <c r="AD5" s="20"/>
      <c r="AE5" s="20"/>
      <c r="AF5" s="20"/>
      <c r="AG5" s="20"/>
      <c r="AH5" s="203"/>
      <c r="AI5" s="203"/>
      <c r="AJ5" s="203"/>
      <c r="AK5" s="203"/>
      <c r="AL5" s="203"/>
      <c r="AM5" s="203"/>
      <c r="AN5" s="203"/>
      <c r="AO5" s="203"/>
      <c r="AP5" s="203"/>
      <c r="AQ5" s="203"/>
    </row>
    <row r="6" spans="1:47" ht="6" customHeight="1" thickTop="1" x14ac:dyDescent="0.35">
      <c r="F6" s="17"/>
    </row>
    <row r="7" spans="1:47" s="152" customFormat="1" ht="15" customHeight="1" x14ac:dyDescent="0.35">
      <c r="D7" s="162" t="s">
        <v>215</v>
      </c>
      <c r="F7" s="213"/>
      <c r="I7" s="151"/>
      <c r="AT7" s="214"/>
      <c r="AU7" s="214"/>
    </row>
    <row r="8" spans="1:47" s="152" customFormat="1" ht="15" customHeight="1" x14ac:dyDescent="0.35">
      <c r="A8" s="151">
        <f>MAX($A$7:A7)+1</f>
        <v>1</v>
      </c>
      <c r="D8" s="215" t="str">
        <f>Control!$D$19</f>
        <v>Online Date</v>
      </c>
      <c r="F8" s="213" t="str">
        <f>"["&amp;A8&amp;"]"</f>
        <v>[1]</v>
      </c>
      <c r="G8" s="230" t="str">
        <f>Control!$D$3</f>
        <v>Control Table</v>
      </c>
      <c r="I8" s="150">
        <f>INDEX(Control!$H$10:$H$62, MATCH($D8, Control!$D$10:$D$62, 0))</f>
        <v>46905</v>
      </c>
      <c r="AT8" s="214"/>
      <c r="AU8" s="214"/>
    </row>
    <row r="9" spans="1:47" s="152" customFormat="1" ht="6" customHeight="1" x14ac:dyDescent="0.35">
      <c r="D9" s="151"/>
      <c r="F9" s="213"/>
      <c r="G9" s="313" t="s">
        <v>163</v>
      </c>
      <c r="I9" s="151"/>
      <c r="AT9" s="214"/>
      <c r="AU9" s="214"/>
    </row>
    <row r="10" spans="1:47" s="152" customFormat="1" ht="15" customHeight="1" x14ac:dyDescent="0.35">
      <c r="D10" s="162" t="s">
        <v>208</v>
      </c>
      <c r="F10" s="213"/>
      <c r="G10" s="313"/>
      <c r="I10" s="151"/>
      <c r="AT10" s="217" t="s">
        <v>174</v>
      </c>
      <c r="AU10" s="217" t="s">
        <v>175</v>
      </c>
    </row>
    <row r="11" spans="1:47" s="152" customFormat="1" ht="15" customHeight="1" x14ac:dyDescent="0.35">
      <c r="A11" s="151">
        <f>MAX($A$7:A10)+1</f>
        <v>2</v>
      </c>
      <c r="D11" s="215" t="str">
        <f>Control!$D$10</f>
        <v>Technology</v>
      </c>
      <c r="F11" s="213" t="str">
        <f>"["&amp;A11&amp;"]"</f>
        <v>[2]</v>
      </c>
      <c r="G11" s="230" t="str">
        <f>Control!$D$3</f>
        <v>Control Table</v>
      </c>
      <c r="H11" s="157"/>
      <c r="I11" s="150" t="str">
        <f>INDEX(Control!$H$10:$H$62, MATCH($D11, Control!$D$10:$D$62, 0))</f>
        <v>CC</v>
      </c>
      <c r="AT11" s="214"/>
      <c r="AU11" s="214"/>
    </row>
    <row r="12" spans="1:47" s="152" customFormat="1" ht="15" customHeight="1" x14ac:dyDescent="0.35">
      <c r="A12" s="294">
        <f>MAX($A$7:A11)+1</f>
        <v>3</v>
      </c>
      <c r="D12" s="215" t="s">
        <v>287</v>
      </c>
      <c r="F12" s="213" t="str">
        <f>"["&amp;A12&amp;"]"</f>
        <v>[3]</v>
      </c>
      <c r="G12" s="230" t="str">
        <f>Control!$D$3</f>
        <v>Control Table</v>
      </c>
      <c r="H12" s="157"/>
      <c r="I12" s="305" t="str">
        <f>INDEX(Control!$H$10:$H$62, MATCH($D12, Control!$D$10:$D$62, 0))</f>
        <v>Rest of RTO</v>
      </c>
      <c r="AT12" s="214"/>
      <c r="AU12" s="214"/>
    </row>
    <row r="13" spans="1:47" s="152" customFormat="1" ht="15" customHeight="1" x14ac:dyDescent="0.35">
      <c r="A13" s="294">
        <f>MAX($A$7:A12)+1</f>
        <v>4</v>
      </c>
      <c r="D13" s="215" t="str">
        <f>Control!$D$42</f>
        <v>Net Summer Capacity</v>
      </c>
      <c r="E13" s="152" t="s">
        <v>4</v>
      </c>
      <c r="F13" s="213" t="str">
        <f>"["&amp;A13&amp;"]"</f>
        <v>[4]</v>
      </c>
      <c r="G13" s="230" t="str">
        <f>Control!$D$3</f>
        <v>Control Table</v>
      </c>
      <c r="H13" s="157"/>
      <c r="I13" s="218">
        <f>INDEX(Control!$H$10:$H$62, MATCH($D13, Control!$D$10:$D$62, 0))</f>
        <v>1276.144</v>
      </c>
      <c r="AT13" s="219"/>
      <c r="AU13" s="214"/>
    </row>
    <row r="14" spans="1:47" s="152" customFormat="1" ht="15" customHeight="1" x14ac:dyDescent="0.35">
      <c r="A14" s="294">
        <f>MAX($A$7:A13)+1</f>
        <v>5</v>
      </c>
      <c r="D14" s="215" t="s">
        <v>8</v>
      </c>
      <c r="E14" s="152" t="s">
        <v>118</v>
      </c>
      <c r="F14" s="213" t="str">
        <f>"["&amp;A14&amp;"]"</f>
        <v>[5]</v>
      </c>
      <c r="G14" s="230" t="str">
        <f>Control!$D$3</f>
        <v>Control Table</v>
      </c>
      <c r="I14" s="1938">
        <f>INDEX(Control!$H$10:$H$62, MATCH($D14, Control!$D$10:$D$62, 0))</f>
        <v>20</v>
      </c>
      <c r="AT14" s="214"/>
      <c r="AU14" s="214"/>
    </row>
    <row r="15" spans="1:47" s="152" customFormat="1" ht="6" customHeight="1" x14ac:dyDescent="0.35">
      <c r="A15" s="151"/>
      <c r="D15" s="215"/>
      <c r="F15" s="213"/>
      <c r="G15" s="313"/>
      <c r="H15" s="156"/>
      <c r="I15" s="153"/>
      <c r="AT15" s="214"/>
      <c r="AU15" s="214"/>
    </row>
    <row r="16" spans="1:47" s="152" customFormat="1" ht="15" customHeight="1" x14ac:dyDescent="0.35">
      <c r="A16" s="151">
        <f>MAX($A$7:A14)+1</f>
        <v>6</v>
      </c>
      <c r="D16" s="215" t="s">
        <v>3</v>
      </c>
      <c r="E16" s="157" t="s">
        <v>259</v>
      </c>
      <c r="F16" s="213" t="str">
        <f t="shared" ref="F16:F26" si="0">"["&amp;A16&amp;"]"</f>
        <v>[6]</v>
      </c>
      <c r="G16" s="313" t="str">
        <f>'Construction Costs'!$D$3</f>
        <v>Table A2</v>
      </c>
      <c r="H16" s="156"/>
      <c r="I16" s="153">
        <f>INDEX('Construction Costs'!$I$8:$I$44, MATCH($D16, 'Construction Costs'!$D$8:$D$44, 0))</f>
        <v>1811348085.1208441</v>
      </c>
      <c r="J16" s="582"/>
      <c r="AT16" s="214"/>
      <c r="AU16" s="214"/>
    </row>
    <row r="17" spans="1:47" s="152" customFormat="1" ht="15" customHeight="1" x14ac:dyDescent="0.35">
      <c r="A17" s="151">
        <f>MAX($A$7:A16)+1</f>
        <v>7</v>
      </c>
      <c r="D17" s="215" t="str">
        <f>'Construction Costs'!$D$43</f>
        <v>Installed Cost</v>
      </c>
      <c r="E17" s="157" t="s">
        <v>259</v>
      </c>
      <c r="F17" s="213" t="str">
        <f t="shared" si="0"/>
        <v>[7]</v>
      </c>
      <c r="G17" s="313" t="str">
        <f>'Construction Costs'!$D$3</f>
        <v>Table A2</v>
      </c>
      <c r="H17" s="156"/>
      <c r="I17" s="153">
        <f>INDEX('Construction Costs'!$I$8:$I$44, MATCH($D17, 'Construction Costs'!$D$8:$D$44, 0))</f>
        <v>2304255091.2588</v>
      </c>
      <c r="AT17" s="214"/>
      <c r="AU17" s="214"/>
    </row>
    <row r="18" spans="1:47" s="152" customFormat="1" ht="15" customHeight="1" x14ac:dyDescent="0.35">
      <c r="A18" s="151">
        <f>MAX($A$7:A17)+1</f>
        <v>8</v>
      </c>
      <c r="D18" s="215" t="s">
        <v>6</v>
      </c>
      <c r="E18" s="157" t="s">
        <v>259</v>
      </c>
      <c r="F18" s="213" t="str">
        <f t="shared" si="0"/>
        <v>[8]</v>
      </c>
      <c r="G18" s="313" t="str">
        <f>'Construction Costs'!$D$3</f>
        <v>Table A2</v>
      </c>
      <c r="H18" s="156"/>
      <c r="I18" s="153">
        <f>INDEX('Construction Costs'!$I$8:$I$44, MATCH($D18, 'Construction Costs'!$D$8:$D$44, 0))</f>
        <v>1961371349.6694851</v>
      </c>
      <c r="AT18" s="214"/>
      <c r="AU18" s="214"/>
    </row>
    <row r="19" spans="1:47" s="152" customFormat="1" ht="6" customHeight="1" x14ac:dyDescent="0.35">
      <c r="A19" s="151"/>
      <c r="D19" s="215"/>
      <c r="F19" s="213"/>
      <c r="G19" s="230"/>
      <c r="H19" s="156"/>
      <c r="I19" s="153"/>
      <c r="AT19" s="214"/>
      <c r="AU19" s="214"/>
    </row>
    <row r="20" spans="1:47" s="152" customFormat="1" ht="15" customHeight="1" x14ac:dyDescent="0.35">
      <c r="A20" s="151">
        <f>MAX($A$7:A18)+1</f>
        <v>9</v>
      </c>
      <c r="D20" s="216" t="s">
        <v>248</v>
      </c>
      <c r="E20" s="157" t="s">
        <v>260</v>
      </c>
      <c r="F20" s="213" t="str">
        <f>"["&amp;A20&amp;"]"</f>
        <v>[9]</v>
      </c>
      <c r="G20" s="230" t="s">
        <v>39</v>
      </c>
      <c r="H20" s="156"/>
      <c r="I20" s="153">
        <f>IFERROR(I16/($I$13*1000),0)</f>
        <v>1419.3916087219343</v>
      </c>
      <c r="J20" s="158"/>
      <c r="K20" s="313"/>
      <c r="AT20" s="214"/>
      <c r="AU20" s="214"/>
    </row>
    <row r="21" spans="1:47" s="152" customFormat="1" ht="15" customHeight="1" x14ac:dyDescent="0.35">
      <c r="A21" s="151">
        <f>MAX($A$7:A20)+1</f>
        <v>10</v>
      </c>
      <c r="D21" s="215" t="s">
        <v>60</v>
      </c>
      <c r="E21" s="157" t="s">
        <v>260</v>
      </c>
      <c r="F21" s="213" t="str">
        <f>"["&amp;A21&amp;"]"</f>
        <v>[10]</v>
      </c>
      <c r="G21" s="230" t="s">
        <v>39</v>
      </c>
      <c r="H21" s="156"/>
      <c r="I21" s="153">
        <f>IFERROR(I17/($I$13*1000),0)</f>
        <v>1805.6387768612319</v>
      </c>
      <c r="AT21" s="214"/>
      <c r="AU21" s="214"/>
    </row>
    <row r="22" spans="1:47" s="152" customFormat="1" ht="15" customHeight="1" x14ac:dyDescent="0.35">
      <c r="A22" s="151">
        <f>MAX($A$7:A21)+1</f>
        <v>11</v>
      </c>
      <c r="D22" s="215" t="s">
        <v>261</v>
      </c>
      <c r="E22" s="157" t="s">
        <v>260</v>
      </c>
      <c r="F22" s="213" t="str">
        <f>"["&amp;A22&amp;"]"</f>
        <v>[11]</v>
      </c>
      <c r="G22" s="230" t="s">
        <v>39</v>
      </c>
      <c r="H22" s="156"/>
      <c r="I22" s="153">
        <f>IFERROR(I18/($I$13*1000),0)</f>
        <v>1536.9514331215639</v>
      </c>
      <c r="AT22" s="214"/>
      <c r="AU22" s="214"/>
    </row>
    <row r="23" spans="1:47" s="152" customFormat="1" ht="6" customHeight="1" x14ac:dyDescent="0.35">
      <c r="A23" s="151"/>
      <c r="D23" s="215"/>
      <c r="F23" s="213"/>
      <c r="G23" s="230"/>
      <c r="H23" s="156"/>
      <c r="I23" s="153"/>
      <c r="AT23" s="214"/>
      <c r="AU23" s="214"/>
    </row>
    <row r="24" spans="1:47" s="152" customFormat="1" ht="15" customHeight="1" x14ac:dyDescent="0.35">
      <c r="A24" s="151"/>
      <c r="D24" s="162" t="s">
        <v>249</v>
      </c>
      <c r="F24" s="213"/>
      <c r="G24" s="313"/>
      <c r="H24" s="156"/>
      <c r="I24" s="153"/>
      <c r="AT24" s="214"/>
      <c r="AU24" s="214"/>
    </row>
    <row r="25" spans="1:47" s="152" customFormat="1" ht="15" customHeight="1" x14ac:dyDescent="0.35">
      <c r="A25" s="151">
        <f>MAX($A$7:A23)+1</f>
        <v>12</v>
      </c>
      <c r="D25" s="215" t="str">
        <f>Control!$O$46</f>
        <v>Revenue Escalation Rate</v>
      </c>
      <c r="E25" s="152" t="str">
        <f>Control!$E$60</f>
        <v>%</v>
      </c>
      <c r="F25" s="213" t="str">
        <f t="shared" si="0"/>
        <v>[12]</v>
      </c>
      <c r="G25" s="313" t="str">
        <f>Control!$D$3</f>
        <v>Control Table</v>
      </c>
      <c r="H25" s="156"/>
      <c r="I25" s="154">
        <f>INDEX(Control!$H$10:$H$62, MATCH($D25, Control!$O$10:$O$62, 0))</f>
        <v>0</v>
      </c>
      <c r="AT25" s="214"/>
      <c r="AU25" s="214"/>
    </row>
    <row r="26" spans="1:47" s="152" customFormat="1" ht="15" customHeight="1" x14ac:dyDescent="0.35">
      <c r="A26" s="151">
        <f>MAX($A$7:A25)+1</f>
        <v>13</v>
      </c>
      <c r="D26" s="215" t="str">
        <f>Control!$D$60</f>
        <v>ATWACC Nominal</v>
      </c>
      <c r="E26" s="152" t="str">
        <f>Control!$E$60</f>
        <v>%</v>
      </c>
      <c r="F26" s="213" t="str">
        <f t="shared" si="0"/>
        <v>[13]</v>
      </c>
      <c r="G26" s="313" t="str">
        <f>Control!$D$3</f>
        <v>Control Table</v>
      </c>
      <c r="I26" s="154">
        <f>INDEX(Control!$H$10:$H$62, MATCH($D26, Control!$D$10:$D$62, 0))</f>
        <v>9.5187440099999993E-2</v>
      </c>
      <c r="AT26" s="214"/>
      <c r="AU26" s="214"/>
    </row>
    <row r="27" spans="1:47" s="152" customFormat="1" ht="15" customHeight="1" x14ac:dyDescent="0.35">
      <c r="A27" s="151">
        <f>MAX($A$7:A26)+1</f>
        <v>14</v>
      </c>
      <c r="D27" s="215" t="str">
        <f>Control!D59</f>
        <v>Total Income Tax Rate</v>
      </c>
      <c r="E27" s="152" t="str">
        <f>"%"</f>
        <v>%</v>
      </c>
      <c r="F27" s="213" t="str">
        <f t="shared" ref="F27:F31" si="1">"["&amp;A27&amp;"]"</f>
        <v>[14]</v>
      </c>
      <c r="G27" s="313" t="str">
        <f>Control!$D$3</f>
        <v>Control Table</v>
      </c>
      <c r="I27" s="154">
        <f>INDEX(Control!$H$10:$H$62, MATCH($D27, Control!$D$10:$D$62, 0))</f>
        <v>0.273121</v>
      </c>
      <c r="AT27" s="214"/>
      <c r="AU27" s="214"/>
    </row>
    <row r="28" spans="1:47" s="152" customFormat="1" ht="15" customHeight="1" x14ac:dyDescent="0.35">
      <c r="A28" s="151">
        <f>MAX($A$7:A27)+1</f>
        <v>15</v>
      </c>
      <c r="D28" s="215" t="str">
        <f>Control!$D$51</f>
        <v>Tax Depreciation Schedule</v>
      </c>
      <c r="F28" s="213" t="str">
        <f t="shared" si="1"/>
        <v>[15]</v>
      </c>
      <c r="G28" s="230" t="str">
        <f>Control!$D$3</f>
        <v>Control Table</v>
      </c>
      <c r="I28" s="220" t="str">
        <f>INDEX(Control!$H$10:$H$62, MATCH($D28, Control!$D$10:$D$62, 0))</f>
        <v>20-Year MACRS</v>
      </c>
      <c r="AT28" s="214"/>
      <c r="AU28" s="214"/>
    </row>
    <row r="29" spans="1:47" s="152" customFormat="1" ht="15" customHeight="1" x14ac:dyDescent="0.35">
      <c r="A29" s="151">
        <f>MAX($A$7:A28)+1</f>
        <v>16</v>
      </c>
      <c r="D29" s="215" t="str">
        <f>Control!$D$25</f>
        <v>Bonus Depreciaton</v>
      </c>
      <c r="E29" s="152" t="str">
        <f>"%"</f>
        <v>%</v>
      </c>
      <c r="F29" s="213" t="str">
        <f t="shared" si="1"/>
        <v>[16]</v>
      </c>
      <c r="G29" s="230" t="str">
        <f>Control!$D$3</f>
        <v>Control Table</v>
      </c>
      <c r="I29" s="154">
        <f>INDEX(Control!$H$10:$H$62, MATCH($D29, Control!$D$10:$D$62, 0))</f>
        <v>0</v>
      </c>
      <c r="AT29" s="214"/>
      <c r="AU29" s="214"/>
    </row>
    <row r="30" spans="1:47" s="152" customFormat="1" ht="15" customHeight="1" x14ac:dyDescent="0.35">
      <c r="A30" s="151">
        <f>MAX($A$7:A29)+1</f>
        <v>17</v>
      </c>
      <c r="D30" s="215" t="str">
        <f>Control!$D$27</f>
        <v>Investment Tax Credit</v>
      </c>
      <c r="E30" s="152" t="str">
        <f>"%"</f>
        <v>%</v>
      </c>
      <c r="F30" s="213" t="str">
        <f t="shared" si="1"/>
        <v>[17]</v>
      </c>
      <c r="G30" s="230" t="str">
        <f>Control!$D$3</f>
        <v>Control Table</v>
      </c>
      <c r="I30" s="154">
        <f>INDEX(Control!$H$10:$H$62, MATCH($D30, Control!$D$10:$D$62, 0))</f>
        <v>0.3</v>
      </c>
      <c r="AT30" s="214"/>
      <c r="AU30" s="214"/>
    </row>
    <row r="31" spans="1:47" s="152" customFormat="1" ht="15" customHeight="1" x14ac:dyDescent="0.35">
      <c r="A31" s="151">
        <f>MAX($A$7:A30)+1</f>
        <v>18</v>
      </c>
      <c r="D31" s="215" t="str">
        <f>Control!$D$28</f>
        <v>Impact of Investment Tax Credit on Depreciable Basis</v>
      </c>
      <c r="E31" s="152" t="str">
        <f>"%"</f>
        <v>%</v>
      </c>
      <c r="F31" s="213" t="str">
        <f t="shared" si="1"/>
        <v>[18]</v>
      </c>
      <c r="G31" s="230" t="str">
        <f>Control!$D$3</f>
        <v>Control Table</v>
      </c>
      <c r="I31" s="154">
        <f>INDEX(Control!$H$10:$H$62, MATCH($D31, Control!$D$10:$D$62, 0))</f>
        <v>0.5</v>
      </c>
      <c r="AT31" s="214"/>
      <c r="AU31" s="214"/>
    </row>
    <row r="32" spans="1:47" s="152" customFormat="1" ht="6" customHeight="1" x14ac:dyDescent="0.35">
      <c r="D32" s="151"/>
      <c r="F32" s="213"/>
      <c r="G32" s="313"/>
      <c r="I32" s="154"/>
      <c r="AT32" s="214"/>
      <c r="AU32" s="214"/>
    </row>
    <row r="33" spans="1:47" s="152" customFormat="1" ht="15" customHeight="1" x14ac:dyDescent="0.35">
      <c r="D33" s="162" t="s">
        <v>258</v>
      </c>
      <c r="E33" s="151"/>
      <c r="F33" s="213"/>
      <c r="G33" s="230"/>
      <c r="I33" s="154"/>
      <c r="AT33" s="214"/>
      <c r="AU33" s="214"/>
    </row>
    <row r="34" spans="1:47" s="152" customFormat="1" ht="15" customHeight="1" x14ac:dyDescent="0.35">
      <c r="A34" s="151">
        <f>MAX($A$7:A33)+1</f>
        <v>19</v>
      </c>
      <c r="D34" s="216" t="s">
        <v>255</v>
      </c>
      <c r="E34" s="313" t="s">
        <v>259</v>
      </c>
      <c r="F34" s="312" t="str">
        <f>"["&amp;A34&amp;"]"</f>
        <v>[19]</v>
      </c>
      <c r="G34" s="230" t="s">
        <v>39</v>
      </c>
      <c r="H34" s="313"/>
      <c r="I34" s="1021">
        <f>IF($I$11=Control!$K$10, INDEX('BESS Capital Costs'!$R$47:$V$47,MATCH($I$12,'BESS Capital Costs'!$R$31:$V$31,0)), 0)</f>
        <v>0</v>
      </c>
      <c r="K34" s="229"/>
      <c r="AT34" s="214"/>
      <c r="AU34" s="214"/>
    </row>
    <row r="35" spans="1:47" s="152" customFormat="1" ht="15" customHeight="1" x14ac:dyDescent="0.35">
      <c r="A35" s="151">
        <f>MAX($A$7:A34)+1</f>
        <v>20</v>
      </c>
      <c r="D35" s="216" t="s">
        <v>256</v>
      </c>
      <c r="E35" s="313" t="s">
        <v>259</v>
      </c>
      <c r="F35" s="312" t="str">
        <f>"["&amp;A35&amp;"]"</f>
        <v>[20]</v>
      </c>
      <c r="G35" s="230" t="s">
        <v>39</v>
      </c>
      <c r="H35" s="313"/>
      <c r="I35" s="1021">
        <f>IF($I$11=Control!$K$10, $I$30*$I$34, 0)</f>
        <v>0</v>
      </c>
      <c r="AT35" s="214"/>
      <c r="AU35" s="214"/>
    </row>
    <row r="36" spans="1:47" s="152" customFormat="1" ht="15" customHeight="1" x14ac:dyDescent="0.35">
      <c r="A36" s="151">
        <f>MAX($A$7:A35)+1</f>
        <v>21</v>
      </c>
      <c r="D36" s="216" t="s">
        <v>253</v>
      </c>
      <c r="E36" s="313" t="s">
        <v>259</v>
      </c>
      <c r="F36" s="312" t="str">
        <f>"["&amp;A36&amp;"]"</f>
        <v>[21]</v>
      </c>
      <c r="G36" s="230" t="s">
        <v>39</v>
      </c>
      <c r="H36" s="313"/>
      <c r="I36" s="1021">
        <f>IF($I$11=Control!$K$10, $I$31*$I$35, 0)</f>
        <v>0</v>
      </c>
      <c r="J36" s="156"/>
      <c r="AT36" s="214"/>
      <c r="AU36" s="214"/>
    </row>
    <row r="37" spans="1:47" s="152" customFormat="1" ht="6" customHeight="1" x14ac:dyDescent="0.35">
      <c r="D37" s="159"/>
      <c r="E37" s="155"/>
      <c r="F37" s="221"/>
      <c r="G37" s="159"/>
      <c r="H37" s="155"/>
      <c r="I37" s="159"/>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204"/>
      <c r="AI37" s="204"/>
      <c r="AJ37" s="204"/>
      <c r="AK37" s="204"/>
      <c r="AL37" s="204"/>
      <c r="AM37" s="204"/>
      <c r="AN37" s="204"/>
      <c r="AO37" s="204"/>
      <c r="AP37" s="204"/>
      <c r="AQ37" s="204"/>
      <c r="AT37" s="214"/>
      <c r="AU37" s="214"/>
    </row>
    <row r="38" spans="1:47" s="152" customFormat="1" ht="6" customHeight="1" x14ac:dyDescent="0.35">
      <c r="D38" s="151"/>
      <c r="F38" s="213"/>
      <c r="G38" s="313"/>
      <c r="I38" s="151"/>
      <c r="AT38" s="214"/>
      <c r="AU38" s="214"/>
    </row>
    <row r="39" spans="1:47" s="152" customFormat="1" ht="15" customHeight="1" x14ac:dyDescent="0.35">
      <c r="D39" s="162" t="s">
        <v>61</v>
      </c>
      <c r="E39" s="213"/>
      <c r="F39" s="213"/>
      <c r="G39" s="313"/>
      <c r="I39" s="151"/>
      <c r="AT39" s="214"/>
      <c r="AU39" s="214"/>
    </row>
    <row r="40" spans="1:47" s="152" customFormat="1" ht="15" customHeight="1" x14ac:dyDescent="0.35">
      <c r="A40" s="151">
        <f>MAX($A$7:A39)+1</f>
        <v>22</v>
      </c>
      <c r="D40" s="215" t="s">
        <v>27</v>
      </c>
      <c r="F40" s="213" t="str">
        <f t="shared" ref="F40:F45" si="2">"["&amp;A40&amp;"]"</f>
        <v>[22]</v>
      </c>
      <c r="G40" s="313"/>
      <c r="I40" s="313">
        <f t="shared" ref="I40:AG40" si="3">IF(H40=0,YEAR($I$8),H$40+1)</f>
        <v>2028</v>
      </c>
      <c r="J40" s="313">
        <f t="shared" si="3"/>
        <v>2029</v>
      </c>
      <c r="K40" s="313">
        <f t="shared" si="3"/>
        <v>2030</v>
      </c>
      <c r="L40" s="313">
        <f t="shared" si="3"/>
        <v>2031</v>
      </c>
      <c r="M40" s="313">
        <f t="shared" si="3"/>
        <v>2032</v>
      </c>
      <c r="N40" s="313">
        <f t="shared" si="3"/>
        <v>2033</v>
      </c>
      <c r="O40" s="313">
        <f t="shared" si="3"/>
        <v>2034</v>
      </c>
      <c r="P40" s="313">
        <f t="shared" si="3"/>
        <v>2035</v>
      </c>
      <c r="Q40" s="313">
        <f t="shared" si="3"/>
        <v>2036</v>
      </c>
      <c r="R40" s="313">
        <f t="shared" si="3"/>
        <v>2037</v>
      </c>
      <c r="S40" s="313">
        <f t="shared" si="3"/>
        <v>2038</v>
      </c>
      <c r="T40" s="313">
        <f t="shared" si="3"/>
        <v>2039</v>
      </c>
      <c r="U40" s="313">
        <f t="shared" si="3"/>
        <v>2040</v>
      </c>
      <c r="V40" s="313">
        <f t="shared" si="3"/>
        <v>2041</v>
      </c>
      <c r="W40" s="313">
        <f t="shared" si="3"/>
        <v>2042</v>
      </c>
      <c r="X40" s="313">
        <f t="shared" si="3"/>
        <v>2043</v>
      </c>
      <c r="Y40" s="313">
        <f t="shared" si="3"/>
        <v>2044</v>
      </c>
      <c r="Z40" s="313">
        <f t="shared" si="3"/>
        <v>2045</v>
      </c>
      <c r="AA40" s="313">
        <f t="shared" si="3"/>
        <v>2046</v>
      </c>
      <c r="AB40" s="313">
        <f t="shared" si="3"/>
        <v>2047</v>
      </c>
      <c r="AC40" s="313">
        <f t="shared" si="3"/>
        <v>2048</v>
      </c>
      <c r="AD40" s="313">
        <f t="shared" si="3"/>
        <v>2049</v>
      </c>
      <c r="AE40" s="313">
        <f t="shared" si="3"/>
        <v>2050</v>
      </c>
      <c r="AF40" s="313">
        <f t="shared" si="3"/>
        <v>2051</v>
      </c>
      <c r="AG40" s="313">
        <f t="shared" si="3"/>
        <v>2052</v>
      </c>
      <c r="AT40" s="214"/>
      <c r="AU40" s="214"/>
    </row>
    <row r="41" spans="1:47" s="152" customFormat="1" ht="15" customHeight="1" x14ac:dyDescent="0.35">
      <c r="A41" s="151">
        <f>MAX($A$7:A40)+1</f>
        <v>23</v>
      </c>
      <c r="D41" s="215" t="s">
        <v>240</v>
      </c>
      <c r="F41" s="213" t="str">
        <f t="shared" si="2"/>
        <v>[23]</v>
      </c>
      <c r="G41" s="313" t="str">
        <f>$F$40&amp;" - "&amp;(YEAR($I$8)-1)</f>
        <v>[22] - 2027</v>
      </c>
      <c r="H41" s="313"/>
      <c r="I41" s="713">
        <f t="shared" ref="I41:AG41" si="4">I$40-(YEAR($I$8)-1)</f>
        <v>1</v>
      </c>
      <c r="J41" s="713">
        <f t="shared" si="4"/>
        <v>2</v>
      </c>
      <c r="K41" s="713">
        <f t="shared" si="4"/>
        <v>3</v>
      </c>
      <c r="L41" s="713">
        <f t="shared" si="4"/>
        <v>4</v>
      </c>
      <c r="M41" s="713">
        <f t="shared" si="4"/>
        <v>5</v>
      </c>
      <c r="N41" s="713">
        <f t="shared" si="4"/>
        <v>6</v>
      </c>
      <c r="O41" s="713">
        <f t="shared" si="4"/>
        <v>7</v>
      </c>
      <c r="P41" s="713">
        <f t="shared" si="4"/>
        <v>8</v>
      </c>
      <c r="Q41" s="713">
        <f t="shared" si="4"/>
        <v>9</v>
      </c>
      <c r="R41" s="713">
        <f t="shared" si="4"/>
        <v>10</v>
      </c>
      <c r="S41" s="713">
        <f t="shared" si="4"/>
        <v>11</v>
      </c>
      <c r="T41" s="713">
        <f t="shared" si="4"/>
        <v>12</v>
      </c>
      <c r="U41" s="713">
        <f t="shared" si="4"/>
        <v>13</v>
      </c>
      <c r="V41" s="713">
        <f t="shared" si="4"/>
        <v>14</v>
      </c>
      <c r="W41" s="713">
        <f t="shared" si="4"/>
        <v>15</v>
      </c>
      <c r="X41" s="713">
        <f t="shared" si="4"/>
        <v>16</v>
      </c>
      <c r="Y41" s="713">
        <f t="shared" si="4"/>
        <v>17</v>
      </c>
      <c r="Z41" s="713">
        <f t="shared" si="4"/>
        <v>18</v>
      </c>
      <c r="AA41" s="713">
        <f t="shared" si="4"/>
        <v>19</v>
      </c>
      <c r="AB41" s="713">
        <f t="shared" si="4"/>
        <v>20</v>
      </c>
      <c r="AC41" s="713">
        <f t="shared" si="4"/>
        <v>21</v>
      </c>
      <c r="AD41" s="713">
        <f t="shared" si="4"/>
        <v>22</v>
      </c>
      <c r="AE41" s="713">
        <f t="shared" si="4"/>
        <v>23</v>
      </c>
      <c r="AF41" s="713">
        <f t="shared" si="4"/>
        <v>24</v>
      </c>
      <c r="AG41" s="713">
        <f t="shared" si="4"/>
        <v>25</v>
      </c>
      <c r="AH41" s="151"/>
      <c r="AI41" s="151"/>
      <c r="AJ41" s="151"/>
      <c r="AK41" s="151"/>
      <c r="AL41" s="151"/>
      <c r="AM41" s="151"/>
      <c r="AN41" s="151"/>
      <c r="AO41" s="151"/>
      <c r="AP41" s="151"/>
      <c r="AQ41" s="151"/>
      <c r="AT41" s="214"/>
      <c r="AU41" s="214"/>
    </row>
    <row r="42" spans="1:47" s="152" customFormat="1" ht="15" customHeight="1" x14ac:dyDescent="0.35">
      <c r="A42" s="151">
        <f>MAX($A$7:A41)+1</f>
        <v>24</v>
      </c>
      <c r="D42" s="215" t="s">
        <v>49</v>
      </c>
      <c r="E42" s="151" t="s">
        <v>259</v>
      </c>
      <c r="F42" s="213" t="str">
        <f t="shared" si="2"/>
        <v>[24]</v>
      </c>
      <c r="G42" s="313" t="str">
        <f>'Annual FOM Costs'!$D$3</f>
        <v>Table B1</v>
      </c>
      <c r="H42" s="153"/>
      <c r="I42" s="276">
        <f ca="1">INDEX('Annual FOM Costs'!$H$38:$AH$43, MATCH($D42, 'Annual FOM Costs'!$D$38:$D$43, 0), MATCH(I$41, 'Annual FOM Costs'!$H$27:$AH$27, 0))*IF(I$41&gt;$I$14,IF(MOD($I$14,H$41)&lt;1,MOD($I$14,H$41),0),1)</f>
        <v>65380643.227225207</v>
      </c>
      <c r="J42" s="276">
        <f ca="1">INDEX('Annual FOM Costs'!$H$38:$AH$43, MATCH($D42, 'Annual FOM Costs'!$D$38:$D$43, 0), MATCH(J$41, 'Annual FOM Costs'!$H$27:$AH$27, 0))*IF(J$41&gt;$I$14,IF(MOD($I$14,I$41)&lt;1,MOD($I$14,I$41),0),1)</f>
        <v>66367396.849890463</v>
      </c>
      <c r="K42" s="276">
        <f ca="1">INDEX('Annual FOM Costs'!$H$38:$AH$43, MATCH($D42, 'Annual FOM Costs'!$D$38:$D$43, 0), MATCH(K$41, 'Annual FOM Costs'!$H$27:$AH$27, 0))*IF(K$41&gt;$I$14,IF(MOD($I$14,J$41)&lt;1,MOD($I$14,J$41),0),1)</f>
        <v>67389881.595332026</v>
      </c>
      <c r="L42" s="276">
        <f ca="1">INDEX('Annual FOM Costs'!$H$38:$AH$43, MATCH($D42, 'Annual FOM Costs'!$D$38:$D$43, 0), MATCH(L$41, 'Annual FOM Costs'!$H$27:$AH$27, 0))*IF(L$41&gt;$I$14,IF(MOD($I$14,K$41)&lt;1,MOD($I$14,K$41),0),1)</f>
        <v>68441773.281798959</v>
      </c>
      <c r="M42" s="276">
        <f ca="1">INDEX('Annual FOM Costs'!$H$38:$AH$43, MATCH($D42, 'Annual FOM Costs'!$D$38:$D$43, 0), MATCH(M$41, 'Annual FOM Costs'!$H$27:$AH$27, 0))*IF(M$41&gt;$I$14,IF(MOD($I$14,L$41)&lt;1,MOD($I$14,L$41),0),1)</f>
        <v>69546184.792847499</v>
      </c>
      <c r="N42" s="276">
        <f ca="1">INDEX('Annual FOM Costs'!$H$38:$AH$43, MATCH($D42, 'Annual FOM Costs'!$D$38:$D$43, 0), MATCH(N$41, 'Annual FOM Costs'!$H$27:$AH$27, 0))*IF(N$41&gt;$I$14,IF(MOD($I$14,M$41)&lt;1,MOD($I$14,M$41),0),1)</f>
        <v>70694579.361424267</v>
      </c>
      <c r="O42" s="276">
        <f ca="1">INDEX('Annual FOM Costs'!$H$38:$AH$43, MATCH($D42, 'Annual FOM Costs'!$D$38:$D$43, 0), MATCH(O$41, 'Annual FOM Costs'!$H$27:$AH$27, 0))*IF(O$41&gt;$I$14,IF(MOD($I$14,N$41)&lt;1,MOD($I$14,N$41),0),1)</f>
        <v>71878049.586947098</v>
      </c>
      <c r="P42" s="276">
        <f ca="1">INDEX('Annual FOM Costs'!$H$38:$AH$43, MATCH($D42, 'Annual FOM Costs'!$D$38:$D$43, 0), MATCH(P$41, 'Annual FOM Costs'!$H$27:$AH$27, 0))*IF(P$41&gt;$I$14,IF(MOD($I$14,O$41)&lt;1,MOD($I$14,O$41),0),1)</f>
        <v>73118402.845152423</v>
      </c>
      <c r="Q42" s="276">
        <f ca="1">INDEX('Annual FOM Costs'!$H$38:$AH$43, MATCH($D42, 'Annual FOM Costs'!$D$38:$D$43, 0), MATCH(Q$41, 'Annual FOM Costs'!$H$27:$AH$27, 0))*IF(Q$41&gt;$I$14,IF(MOD($I$14,P$41)&lt;1,MOD($I$14,P$41),0),1)</f>
        <v>74406477.860244691</v>
      </c>
      <c r="R42" s="276">
        <f ca="1">INDEX('Annual FOM Costs'!$H$38:$AH$43, MATCH($D42, 'Annual FOM Costs'!$D$38:$D$43, 0), MATCH(R$41, 'Annual FOM Costs'!$H$27:$AH$27, 0))*IF(R$41&gt;$I$14,IF(MOD($I$14,Q$41)&lt;1,MOD($I$14,Q$41),0),1)</f>
        <v>75733087.27012299</v>
      </c>
      <c r="S42" s="276">
        <f ca="1">INDEX('Annual FOM Costs'!$H$38:$AH$43, MATCH($D42, 'Annual FOM Costs'!$D$38:$D$43, 0), MATCH(S$41, 'Annual FOM Costs'!$H$27:$AH$27, 0))*IF(S$41&gt;$I$14,IF(MOD($I$14,R$41)&lt;1,MOD($I$14,R$41),0),1)</f>
        <v>77119951.93884401</v>
      </c>
      <c r="T42" s="276">
        <f ca="1">INDEX('Annual FOM Costs'!$H$38:$AH$43, MATCH($D42, 'Annual FOM Costs'!$D$38:$D$43, 0), MATCH(T$41, 'Annual FOM Costs'!$H$27:$AH$27, 0))*IF(T$41&gt;$I$14,IF(MOD($I$14,S$41)&lt;1,MOD($I$14,S$41),0),1)</f>
        <v>78557920.045972005</v>
      </c>
      <c r="U42" s="276">
        <f ca="1">INDEX('Annual FOM Costs'!$H$38:$AH$43, MATCH($D42, 'Annual FOM Costs'!$D$38:$D$43, 0), MATCH(U$41, 'Annual FOM Costs'!$H$27:$AH$27, 0))*IF(U$41&gt;$I$14,IF(MOD($I$14,T$41)&lt;1,MOD($I$14,T$41),0),1)</f>
        <v>80037873.182365447</v>
      </c>
      <c r="V42" s="276">
        <f ca="1">INDEX('Annual FOM Costs'!$H$38:$AH$43, MATCH($D42, 'Annual FOM Costs'!$D$38:$D$43, 0), MATCH(V$41, 'Annual FOM Costs'!$H$27:$AH$27, 0))*IF(V$41&gt;$I$14,IF(MOD($I$14,U$41)&lt;1,MOD($I$14,U$41),0),1)</f>
        <v>81581619.934395164</v>
      </c>
      <c r="W42" s="276">
        <f ca="1">INDEX('Annual FOM Costs'!$H$38:$AH$43, MATCH($D42, 'Annual FOM Costs'!$D$38:$D$43, 0), MATCH(W$41, 'Annual FOM Costs'!$H$27:$AH$27, 0))*IF(W$41&gt;$I$14,IF(MOD($I$14,V$41)&lt;1,MOD($I$14,V$41),0),1)</f>
        <v>83180117.512040675</v>
      </c>
      <c r="X42" s="276">
        <f ca="1">INDEX('Annual FOM Costs'!$H$38:$AH$43, MATCH($D42, 'Annual FOM Costs'!$D$38:$D$43, 0), MATCH(X$41, 'Annual FOM Costs'!$H$27:$AH$27, 0))*IF(X$41&gt;$I$14,IF(MOD($I$14,W$41)&lt;1,MOD($I$14,W$41),0),1)</f>
        <v>84828776.649540082</v>
      </c>
      <c r="Y42" s="276">
        <f ca="1">INDEX('Annual FOM Costs'!$H$38:$AH$43, MATCH($D42, 'Annual FOM Costs'!$D$38:$D$43, 0), MATCH(Y$41, 'Annual FOM Costs'!$H$27:$AH$27, 0))*IF(Y$41&gt;$I$14,IF(MOD($I$14,X$41)&lt;1,MOD($I$14,X$41),0),1)</f>
        <v>86537395.734759837</v>
      </c>
      <c r="Z42" s="276">
        <f ca="1">INDEX('Annual FOM Costs'!$H$38:$AH$43, MATCH($D42, 'Annual FOM Costs'!$D$38:$D$43, 0), MATCH(Z$41, 'Annual FOM Costs'!$H$27:$AH$27, 0))*IF(Z$41&gt;$I$14,IF(MOD($I$14,Y$41)&lt;1,MOD($I$14,Y$41),0),1)</f>
        <v>88304778.618276954</v>
      </c>
      <c r="AA42" s="276">
        <f ca="1">INDEX('Annual FOM Costs'!$H$38:$AH$43, MATCH($D42, 'Annual FOM Costs'!$D$38:$D$43, 0), MATCH(AA$41, 'Annual FOM Costs'!$H$27:$AH$27, 0))*IF(AA$41&gt;$I$14,IF(MOD($I$14,Z$41)&lt;1,MOD($I$14,Z$41),0),1)</f>
        <v>90127570.254356951</v>
      </c>
      <c r="AB42" s="276">
        <f ca="1">INDEX('Annual FOM Costs'!$H$38:$AH$43, MATCH($D42, 'Annual FOM Costs'!$D$38:$D$43, 0), MATCH(AB$41, 'Annual FOM Costs'!$H$27:$AH$27, 0))*IF(AB$41&gt;$I$14,IF(MOD($I$14,AA$41)&lt;1,MOD($I$14,AA$41),0),1)</f>
        <v>92020114.051160619</v>
      </c>
      <c r="AC42" s="276">
        <f>INDEX('Annual FOM Costs'!$H$38:$AH$43, MATCH($D42, 'Annual FOM Costs'!$D$38:$D$43, 0), MATCH(AC$41, 'Annual FOM Costs'!$H$27:$AH$27, 0))*IF(AC$41&gt;$I$14,IF(MOD($I$14,AB$41)&lt;1,MOD($I$14,AB$41),0),1)</f>
        <v>0</v>
      </c>
      <c r="AD42" s="276">
        <f>INDEX('Annual FOM Costs'!$H$38:$AH$43, MATCH($D42, 'Annual FOM Costs'!$D$38:$D$43, 0), MATCH(AD$41, 'Annual FOM Costs'!$H$27:$AH$27, 0))*IF(AD$41&gt;$I$14,IF(MOD($I$14,AC$41)&lt;1,MOD($I$14,AC$41),0),1)</f>
        <v>0</v>
      </c>
      <c r="AE42" s="276">
        <f>INDEX('Annual FOM Costs'!$H$38:$AH$43, MATCH($D42, 'Annual FOM Costs'!$D$38:$D$43, 0), MATCH(AE$41, 'Annual FOM Costs'!$H$27:$AH$27, 0))*IF(AE$41&gt;$I$14,IF(MOD($I$14,AD$41)&lt;1,MOD($I$14,AD$41),0),1)</f>
        <v>0</v>
      </c>
      <c r="AF42" s="276">
        <f>INDEX('Annual FOM Costs'!$H$38:$AH$43, MATCH($D42, 'Annual FOM Costs'!$D$38:$D$43, 0), MATCH(AF$41, 'Annual FOM Costs'!$H$27:$AH$27, 0))*IF(AF$41&gt;$I$14,IF(MOD($I$14,AE$41)&lt;1,MOD($I$14,AE$41),0),1)</f>
        <v>0</v>
      </c>
      <c r="AG42" s="276">
        <f>INDEX('Annual FOM Costs'!$H$38:$AH$43, MATCH($D42, 'Annual FOM Costs'!$D$38:$D$43, 0), MATCH(AG$41, 'Annual FOM Costs'!$H$27:$AH$27, 0))*IF(AG$41&gt;$I$14,IF(MOD($I$14,AF$41)&lt;1,MOD($I$14,AF$41),0),1)</f>
        <v>0</v>
      </c>
      <c r="AH42" s="153"/>
      <c r="AI42" s="153"/>
      <c r="AJ42" s="153"/>
      <c r="AK42" s="153"/>
      <c r="AL42" s="153"/>
      <c r="AM42" s="153"/>
      <c r="AN42" s="153"/>
      <c r="AO42" s="153"/>
      <c r="AP42" s="153"/>
      <c r="AQ42" s="153"/>
      <c r="AT42" s="214"/>
      <c r="AU42" s="214"/>
    </row>
    <row r="43" spans="1:47" s="152" customFormat="1" ht="15" customHeight="1" x14ac:dyDescent="0.35">
      <c r="A43" s="151">
        <f>MAX($A$7:A42)+1</f>
        <v>25</v>
      </c>
      <c r="D43" s="215" t="s">
        <v>251</v>
      </c>
      <c r="E43" s="151" t="s">
        <v>259</v>
      </c>
      <c r="F43" s="213" t="str">
        <f t="shared" si="2"/>
        <v>[25]</v>
      </c>
      <c r="G43" s="313" t="s">
        <v>39</v>
      </c>
      <c r="H43" s="153"/>
      <c r="I43" s="153">
        <f>IF(I44&lt;&gt;0,IF($I$11=Control!$K$10, $I$18-$I$36, $I$18),0)</f>
        <v>1961371349.6694851</v>
      </c>
      <c r="J43" s="153">
        <f>IF(J44&lt;&gt;0,IF($I$11=Control!$K$10, $I$18-$I$36, $I$18),0)</f>
        <v>1961371349.6694851</v>
      </c>
      <c r="K43" s="153">
        <f>IF(K44&lt;&gt;0,IF($I$11=Control!$K$10, $I$18-$I$36, $I$18),0)</f>
        <v>1961371349.6694851</v>
      </c>
      <c r="L43" s="153">
        <f>IF(L44&lt;&gt;0,IF($I$11=Control!$K$10, $I$18-$I$36, $I$18),0)</f>
        <v>1961371349.6694851</v>
      </c>
      <c r="M43" s="153">
        <f>IF(M44&lt;&gt;0,IF($I$11=Control!$K$10, $I$18-$I$36, $I$18),0)</f>
        <v>1961371349.6694851</v>
      </c>
      <c r="N43" s="153">
        <f>IF(N44&lt;&gt;0,IF($I$11=Control!$K$10, $I$18-$I$36, $I$18),0)</f>
        <v>1961371349.6694851</v>
      </c>
      <c r="O43" s="153">
        <f>IF(O44&lt;&gt;0,IF($I$11=Control!$K$10, $I$18-$I$36, $I$18),0)</f>
        <v>1961371349.6694851</v>
      </c>
      <c r="P43" s="153">
        <f>IF(P44&lt;&gt;0,IF($I$11=Control!$K$10, $I$18-$I$36, $I$18),0)</f>
        <v>1961371349.6694851</v>
      </c>
      <c r="Q43" s="153">
        <f>IF(Q44&lt;&gt;0,IF($I$11=Control!$K$10, $I$18-$I$36, $I$18),0)</f>
        <v>1961371349.6694851</v>
      </c>
      <c r="R43" s="153">
        <f>IF(R44&lt;&gt;0,IF($I$11=Control!$K$10, $I$18-$I$36, $I$18),0)</f>
        <v>1961371349.6694851</v>
      </c>
      <c r="S43" s="153">
        <f>IF(S44&lt;&gt;0,IF($I$11=Control!$K$10, $I$18-$I$36, $I$18),0)</f>
        <v>1961371349.6694851</v>
      </c>
      <c r="T43" s="153">
        <f>IF(T44&lt;&gt;0,IF($I$11=Control!$K$10, $I$18-$I$36, $I$18),0)</f>
        <v>1961371349.6694851</v>
      </c>
      <c r="U43" s="153">
        <f>IF(U44&lt;&gt;0,IF($I$11=Control!$K$10, $I$18-$I$36, $I$18),0)</f>
        <v>1961371349.6694851</v>
      </c>
      <c r="V43" s="153">
        <f>IF(V44&lt;&gt;0,IF($I$11=Control!$K$10, $I$18-$I$36, $I$18),0)</f>
        <v>1961371349.6694851</v>
      </c>
      <c r="W43" s="153">
        <f>IF(W44&lt;&gt;0,IF($I$11=Control!$K$10, $I$18-$I$36, $I$18),0)</f>
        <v>1961371349.6694851</v>
      </c>
      <c r="X43" s="153">
        <f>IF(X44&lt;&gt;0,IF($I$11=Control!$K$10, $I$18-$I$36, $I$18),0)</f>
        <v>1961371349.6694851</v>
      </c>
      <c r="Y43" s="153">
        <f>IF(Y44&lt;&gt;0,IF($I$11=Control!$K$10, $I$18-$I$36, $I$18),0)</f>
        <v>1961371349.6694851</v>
      </c>
      <c r="Z43" s="153">
        <f>IF(Z44&lt;&gt;0,IF($I$11=Control!$K$10, $I$18-$I$36, $I$18),0)</f>
        <v>1961371349.6694851</v>
      </c>
      <c r="AA43" s="153">
        <f>IF(AA44&lt;&gt;0,IF($I$11=Control!$K$10, $I$18-$I$36, $I$18),0)</f>
        <v>1961371349.6694851</v>
      </c>
      <c r="AB43" s="153">
        <f>IF(AB44&lt;&gt;0,IF($I$11=Control!$K$10, $I$18-$I$36, $I$18),0)</f>
        <v>1961371349.6694851</v>
      </c>
      <c r="AC43" s="153">
        <f>IF(AC44&lt;&gt;0,IF($I$11=Control!$K$10, $I$18-$I$36, $I$18),0)</f>
        <v>1961371349.6694851</v>
      </c>
      <c r="AD43" s="153">
        <f>IF(AD44&lt;&gt;0,IF($I$11=Control!$K$10, $I$18-$I$36, $I$18),0)</f>
        <v>0</v>
      </c>
      <c r="AE43" s="153">
        <f>IF(AE44&lt;&gt;0,IF($I$11=Control!$K$10, $I$18-$I$36, $I$18),0)</f>
        <v>0</v>
      </c>
      <c r="AF43" s="153">
        <f>IF(AF44&lt;&gt;0,IF($I$11=Control!$K$10, $I$18-$I$36, $I$18),0)</f>
        <v>0</v>
      </c>
      <c r="AG43" s="153">
        <f>IF(AG44&lt;&gt;0,IF($I$11=Control!$K$10, $I$18-$I$36, $I$18),0)</f>
        <v>0</v>
      </c>
      <c r="AH43" s="153"/>
      <c r="AI43" s="153"/>
      <c r="AJ43" s="153"/>
      <c r="AK43" s="153"/>
      <c r="AL43" s="153"/>
      <c r="AM43" s="153"/>
      <c r="AN43" s="153"/>
      <c r="AO43" s="153"/>
      <c r="AP43" s="153"/>
      <c r="AQ43" s="153"/>
      <c r="AR43" s="153"/>
      <c r="AT43" s="214"/>
      <c r="AU43" s="219"/>
    </row>
    <row r="44" spans="1:47" s="152" customFormat="1" ht="15" customHeight="1" x14ac:dyDescent="0.35">
      <c r="A44" s="151">
        <f>MAX($A$7:A43)+1</f>
        <v>26</v>
      </c>
      <c r="D44" s="222" t="str">
        <f>$I$28</f>
        <v>20-Year MACRS</v>
      </c>
      <c r="E44" s="152" t="s">
        <v>10</v>
      </c>
      <c r="F44" s="213" t="str">
        <f t="shared" si="2"/>
        <v>[26]</v>
      </c>
      <c r="G44" s="313" t="str">
        <f>'Tax Depreciation'!$D$3</f>
        <v>Table C3</v>
      </c>
      <c r="I44" s="154">
        <f>IF($AU$44="MACRS",INDEX('Tax Depreciation'!$E$13:$J$63,MATCH(I$41,'Tax Depreciation'!$D$13:$D$63,0),MATCH($AT$44,'Tax Depreciation'!$E$8:$J$8,0)),INDEX('Tax Depreciation'!$L$13:$Q$63,MATCH(I$41,'Tax Depreciation'!$D$13:$D$63,0),MATCH($AT$44,'Tax Depreciation'!$L$8:$Q$8,0)))</f>
        <v>4.6879999999999998E-2</v>
      </c>
      <c r="J44" s="154">
        <f>IF($AU$44="MACRS",INDEX('Tax Depreciation'!$E$13:$J$63,MATCH(J$41,'Tax Depreciation'!$D$13:$D$63,0),MATCH($AT$44,'Tax Depreciation'!$E$8:$J$8,0)),INDEX('Tax Depreciation'!$L$13:$Q$63,MATCH(J$41,'Tax Depreciation'!$D$13:$D$63,0),MATCH($AT$44,'Tax Depreciation'!$L$8:$Q$8,0)))</f>
        <v>7.1480000000000002E-2</v>
      </c>
      <c r="K44" s="154">
        <f>IF($AU$44="MACRS",INDEX('Tax Depreciation'!$E$13:$J$63,MATCH(K$41,'Tax Depreciation'!$D$13:$D$63,0),MATCH($AT$44,'Tax Depreciation'!$E$8:$J$8,0)),INDEX('Tax Depreciation'!$L$13:$Q$63,MATCH(K$41,'Tax Depreciation'!$D$13:$D$63,0),MATCH($AT$44,'Tax Depreciation'!$L$8:$Q$8,0)))</f>
        <v>6.6119999999999998E-2</v>
      </c>
      <c r="L44" s="154">
        <f>IF($AU$44="MACRS",INDEX('Tax Depreciation'!$E$13:$J$63,MATCH(L$41,'Tax Depreciation'!$D$13:$D$63,0),MATCH($AT$44,'Tax Depreciation'!$E$8:$J$8,0)),INDEX('Tax Depreciation'!$L$13:$Q$63,MATCH(L$41,'Tax Depreciation'!$D$13:$D$63,0),MATCH($AT$44,'Tax Depreciation'!$L$8:$Q$8,0)))</f>
        <v>6.1159999999999999E-2</v>
      </c>
      <c r="M44" s="154">
        <f>IF($AU$44="MACRS",INDEX('Tax Depreciation'!$E$13:$J$63,MATCH(M$41,'Tax Depreciation'!$D$13:$D$63,0),MATCH($AT$44,'Tax Depreciation'!$E$8:$J$8,0)),INDEX('Tax Depreciation'!$L$13:$Q$63,MATCH(M$41,'Tax Depreciation'!$D$13:$D$63,0),MATCH($AT$44,'Tax Depreciation'!$L$8:$Q$8,0)))</f>
        <v>5.6580000000000005E-2</v>
      </c>
      <c r="N44" s="154">
        <f>IF($AU$44="MACRS",INDEX('Tax Depreciation'!$E$13:$J$63,MATCH(N$41,'Tax Depreciation'!$D$13:$D$63,0),MATCH($AT$44,'Tax Depreciation'!$E$8:$J$8,0)),INDEX('Tax Depreciation'!$L$13:$Q$63,MATCH(N$41,'Tax Depreciation'!$D$13:$D$63,0),MATCH($AT$44,'Tax Depreciation'!$L$8:$Q$8,0)))</f>
        <v>5.2329999999999995E-2</v>
      </c>
      <c r="O44" s="154">
        <f>IF($AU$44="MACRS",INDEX('Tax Depreciation'!$E$13:$J$63,MATCH(O$41,'Tax Depreciation'!$D$13:$D$63,0),MATCH($AT$44,'Tax Depreciation'!$E$8:$J$8,0)),INDEX('Tax Depreciation'!$L$13:$Q$63,MATCH(O$41,'Tax Depreciation'!$D$13:$D$63,0),MATCH($AT$44,'Tax Depreciation'!$L$8:$Q$8,0)))</f>
        <v>4.8410000000000002E-2</v>
      </c>
      <c r="P44" s="154">
        <f>IF($AU$44="MACRS",INDEX('Tax Depreciation'!$E$13:$J$63,MATCH(P$41,'Tax Depreciation'!$D$13:$D$63,0),MATCH($AT$44,'Tax Depreciation'!$E$8:$J$8,0)),INDEX('Tax Depreciation'!$L$13:$Q$63,MATCH(P$41,'Tax Depreciation'!$D$13:$D$63,0),MATCH($AT$44,'Tax Depreciation'!$L$8:$Q$8,0)))</f>
        <v>4.478E-2</v>
      </c>
      <c r="Q44" s="154">
        <f>IF($AU$44="MACRS",INDEX('Tax Depreciation'!$E$13:$J$63,MATCH(Q$41,'Tax Depreciation'!$D$13:$D$63,0),MATCH($AT$44,'Tax Depreciation'!$E$8:$J$8,0)),INDEX('Tax Depreciation'!$L$13:$Q$63,MATCH(Q$41,'Tax Depreciation'!$D$13:$D$63,0),MATCH($AT$44,'Tax Depreciation'!$L$8:$Q$8,0)))</f>
        <v>4.4630000000000003E-2</v>
      </c>
      <c r="R44" s="154">
        <f>IF($AU$44="MACRS",INDEX('Tax Depreciation'!$E$13:$J$63,MATCH(R$41,'Tax Depreciation'!$D$13:$D$63,0),MATCH($AT$44,'Tax Depreciation'!$E$8:$J$8,0)),INDEX('Tax Depreciation'!$L$13:$Q$63,MATCH(R$41,'Tax Depreciation'!$D$13:$D$63,0),MATCH($AT$44,'Tax Depreciation'!$L$8:$Q$8,0)))</f>
        <v>4.4630000000000003E-2</v>
      </c>
      <c r="S44" s="154">
        <f>IF($AU$44="MACRS",INDEX('Tax Depreciation'!$E$13:$J$63,MATCH(S$41,'Tax Depreciation'!$D$13:$D$63,0),MATCH($AT$44,'Tax Depreciation'!$E$8:$J$8,0)),INDEX('Tax Depreciation'!$L$13:$Q$63,MATCH(S$41,'Tax Depreciation'!$D$13:$D$63,0),MATCH($AT$44,'Tax Depreciation'!$L$8:$Q$8,0)))</f>
        <v>4.4630000000000003E-2</v>
      </c>
      <c r="T44" s="154">
        <f>IF($AU$44="MACRS",INDEX('Tax Depreciation'!$E$13:$J$63,MATCH(T$41,'Tax Depreciation'!$D$13:$D$63,0),MATCH($AT$44,'Tax Depreciation'!$E$8:$J$8,0)),INDEX('Tax Depreciation'!$L$13:$Q$63,MATCH(T$41,'Tax Depreciation'!$D$13:$D$63,0),MATCH($AT$44,'Tax Depreciation'!$L$8:$Q$8,0)))</f>
        <v>4.4630000000000003E-2</v>
      </c>
      <c r="U44" s="154">
        <f>IF($AU$44="MACRS",INDEX('Tax Depreciation'!$E$13:$J$63,MATCH(U$41,'Tax Depreciation'!$D$13:$D$63,0),MATCH($AT$44,'Tax Depreciation'!$E$8:$J$8,0)),INDEX('Tax Depreciation'!$L$13:$Q$63,MATCH(U$41,'Tax Depreciation'!$D$13:$D$63,0),MATCH($AT$44,'Tax Depreciation'!$L$8:$Q$8,0)))</f>
        <v>4.4630000000000003E-2</v>
      </c>
      <c r="V44" s="154">
        <f>IF($AU$44="MACRS",INDEX('Tax Depreciation'!$E$13:$J$63,MATCH(V$41,'Tax Depreciation'!$D$13:$D$63,0),MATCH($AT$44,'Tax Depreciation'!$E$8:$J$8,0)),INDEX('Tax Depreciation'!$L$13:$Q$63,MATCH(V$41,'Tax Depreciation'!$D$13:$D$63,0),MATCH($AT$44,'Tax Depreciation'!$L$8:$Q$8,0)))</f>
        <v>4.4630000000000003E-2</v>
      </c>
      <c r="W44" s="154">
        <f>IF($AU$44="MACRS",INDEX('Tax Depreciation'!$E$13:$J$63,MATCH(W$41,'Tax Depreciation'!$D$13:$D$63,0),MATCH($AT$44,'Tax Depreciation'!$E$8:$J$8,0)),INDEX('Tax Depreciation'!$L$13:$Q$63,MATCH(W$41,'Tax Depreciation'!$D$13:$D$63,0),MATCH($AT$44,'Tax Depreciation'!$L$8:$Q$8,0)))</f>
        <v>4.462E-2</v>
      </c>
      <c r="X44" s="154">
        <f>IF($AU$44="MACRS",INDEX('Tax Depreciation'!$E$13:$J$63,MATCH(X$41,'Tax Depreciation'!$D$13:$D$63,0),MATCH($AT$44,'Tax Depreciation'!$E$8:$J$8,0)),INDEX('Tax Depreciation'!$L$13:$Q$63,MATCH(X$41,'Tax Depreciation'!$D$13:$D$63,0),MATCH($AT$44,'Tax Depreciation'!$L$8:$Q$8,0)))</f>
        <v>4.4630000000000003E-2</v>
      </c>
      <c r="Y44" s="154">
        <f>IF($AU$44="MACRS",INDEX('Tax Depreciation'!$E$13:$J$63,MATCH(Y$41,'Tax Depreciation'!$D$13:$D$63,0),MATCH($AT$44,'Tax Depreciation'!$E$8:$J$8,0)),INDEX('Tax Depreciation'!$L$13:$Q$63,MATCH(Y$41,'Tax Depreciation'!$D$13:$D$63,0),MATCH($AT$44,'Tax Depreciation'!$L$8:$Q$8,0)))</f>
        <v>4.462E-2</v>
      </c>
      <c r="Z44" s="154">
        <f>IF($AU$44="MACRS",INDEX('Tax Depreciation'!$E$13:$J$63,MATCH(Z$41,'Tax Depreciation'!$D$13:$D$63,0),MATCH($AT$44,'Tax Depreciation'!$E$8:$J$8,0)),INDEX('Tax Depreciation'!$L$13:$Q$63,MATCH(Z$41,'Tax Depreciation'!$D$13:$D$63,0),MATCH($AT$44,'Tax Depreciation'!$L$8:$Q$8,0)))</f>
        <v>4.4630000000000003E-2</v>
      </c>
      <c r="AA44" s="154">
        <f>IF($AU$44="MACRS",INDEX('Tax Depreciation'!$E$13:$J$63,MATCH(AA$41,'Tax Depreciation'!$D$13:$D$63,0),MATCH($AT$44,'Tax Depreciation'!$E$8:$J$8,0)),INDEX('Tax Depreciation'!$L$13:$Q$63,MATCH(AA$41,'Tax Depreciation'!$D$13:$D$63,0),MATCH($AT$44,'Tax Depreciation'!$L$8:$Q$8,0)))</f>
        <v>4.462E-2</v>
      </c>
      <c r="AB44" s="154">
        <f>IF($AU$44="MACRS",INDEX('Tax Depreciation'!$E$13:$J$63,MATCH(AB$41,'Tax Depreciation'!$D$13:$D$63,0),MATCH($AT$44,'Tax Depreciation'!$E$8:$J$8,0)),INDEX('Tax Depreciation'!$L$13:$Q$63,MATCH(AB$41,'Tax Depreciation'!$D$13:$D$63,0),MATCH($AT$44,'Tax Depreciation'!$L$8:$Q$8,0)))</f>
        <v>4.4630000000000003E-2</v>
      </c>
      <c r="AC44" s="154">
        <f>IF($AU$44="MACRS",INDEX('Tax Depreciation'!$E$13:$J$63,MATCH(AC$41,'Tax Depreciation'!$D$13:$D$63,0),MATCH($AT$44,'Tax Depreciation'!$E$8:$J$8,0)),INDEX('Tax Depreciation'!$L$13:$Q$63,MATCH(AC$41,'Tax Depreciation'!$D$13:$D$63,0),MATCH($AT$44,'Tax Depreciation'!$L$8:$Q$8,0)))</f>
        <v>1.6730000000000002E-2</v>
      </c>
      <c r="AD44" s="154">
        <f>IF($AU$44="MACRS",INDEX('Tax Depreciation'!$E$13:$J$63,MATCH(AD$41,'Tax Depreciation'!$D$13:$D$63,0),MATCH($AT$44,'Tax Depreciation'!$E$8:$J$8,0)),INDEX('Tax Depreciation'!$L$13:$Q$63,MATCH(AD$41,'Tax Depreciation'!$D$13:$D$63,0),MATCH($AT$44,'Tax Depreciation'!$L$8:$Q$8,0)))</f>
        <v>0</v>
      </c>
      <c r="AE44" s="154">
        <f>IF($AU$44="MACRS",INDEX('Tax Depreciation'!$E$13:$J$63,MATCH(AE$41,'Tax Depreciation'!$D$13:$D$63,0),MATCH($AT$44,'Tax Depreciation'!$E$8:$J$8,0)),INDEX('Tax Depreciation'!$L$13:$Q$63,MATCH(AE$41,'Tax Depreciation'!$D$13:$D$63,0),MATCH($AT$44,'Tax Depreciation'!$L$8:$Q$8,0)))</f>
        <v>0</v>
      </c>
      <c r="AF44" s="154">
        <f>IF($AU$44="MACRS",INDEX('Tax Depreciation'!$E$13:$J$63,MATCH(AF$41,'Tax Depreciation'!$D$13:$D$63,0),MATCH($AT$44,'Tax Depreciation'!$E$8:$J$8,0)),INDEX('Tax Depreciation'!$L$13:$Q$63,MATCH(AF$41,'Tax Depreciation'!$D$13:$D$63,0),MATCH($AT$44,'Tax Depreciation'!$L$8:$Q$8,0)))</f>
        <v>0</v>
      </c>
      <c r="AG44" s="154">
        <f>IF($AU$44="MACRS",INDEX('Tax Depreciation'!$E$13:$J$63,MATCH(AG$41,'Tax Depreciation'!$D$13:$D$63,0),MATCH($AT$44,'Tax Depreciation'!$E$8:$J$8,0)),INDEX('Tax Depreciation'!$L$13:$Q$63,MATCH(AG$41,'Tax Depreciation'!$D$13:$D$63,0),MATCH($AT$44,'Tax Depreciation'!$L$8:$Q$8,0)))</f>
        <v>0</v>
      </c>
      <c r="AH44" s="154"/>
      <c r="AI44" s="154"/>
      <c r="AJ44" s="154"/>
      <c r="AK44" s="154"/>
      <c r="AL44" s="154"/>
      <c r="AM44" s="154"/>
      <c r="AN44" s="154"/>
      <c r="AO44" s="154"/>
      <c r="AP44" s="154"/>
      <c r="AQ44" s="154"/>
      <c r="AT44" s="219" t="str">
        <f>LEFT($I$28, FIND(" ", $I$28)-1)</f>
        <v>20-Year</v>
      </c>
      <c r="AU44" s="219" t="str">
        <f>RIGHT($I$28, LEN($I$28) - FIND(" ", $I$28))</f>
        <v>MACRS</v>
      </c>
    </row>
    <row r="45" spans="1:47" s="152" customFormat="1" ht="15" customHeight="1" x14ac:dyDescent="0.35">
      <c r="A45" s="151">
        <f>MAX($A$7:A44)+1</f>
        <v>27</v>
      </c>
      <c r="D45" s="215" t="s">
        <v>62</v>
      </c>
      <c r="E45" s="151" t="s">
        <v>259</v>
      </c>
      <c r="F45" s="213" t="str">
        <f t="shared" si="2"/>
        <v>[27]</v>
      </c>
      <c r="G45" s="313" t="s">
        <v>39</v>
      </c>
      <c r="I45" s="153">
        <f t="shared" ref="I45:AG45" si="5">IF(I$41=1,(($I$29*I$43)+(I$44*I$43*(1-$I$29))),(I$44*I$43*(1-$I$29)))*IFERROR(IF(AND(MOD($I$14,H$41)&lt;1,MOD($I$14,H$41)&gt;0),MOD($I$14,H$41),1),1)</f>
        <v>91949088.872505456</v>
      </c>
      <c r="J45" s="153">
        <f t="shared" si="5"/>
        <v>140198824.07437479</v>
      </c>
      <c r="K45" s="153">
        <f t="shared" si="5"/>
        <v>129685873.64014634</v>
      </c>
      <c r="L45" s="153">
        <f t="shared" si="5"/>
        <v>119957471.74578571</v>
      </c>
      <c r="M45" s="153">
        <f t="shared" si="5"/>
        <v>110974390.96429947</v>
      </c>
      <c r="N45" s="153">
        <f t="shared" si="5"/>
        <v>102638562.72820415</v>
      </c>
      <c r="O45" s="153">
        <f t="shared" si="5"/>
        <v>94949987.037499771</v>
      </c>
      <c r="P45" s="153">
        <f t="shared" si="5"/>
        <v>87830209.038199544</v>
      </c>
      <c r="Q45" s="153">
        <f t="shared" si="5"/>
        <v>87536003.33574912</v>
      </c>
      <c r="R45" s="153">
        <f t="shared" si="5"/>
        <v>87536003.33574912</v>
      </c>
      <c r="S45" s="153">
        <f t="shared" si="5"/>
        <v>87536003.33574912</v>
      </c>
      <c r="T45" s="153">
        <f t="shared" si="5"/>
        <v>87536003.33574912</v>
      </c>
      <c r="U45" s="153">
        <f t="shared" si="5"/>
        <v>87536003.33574912</v>
      </c>
      <c r="V45" s="153">
        <f t="shared" si="5"/>
        <v>87536003.33574912</v>
      </c>
      <c r="W45" s="153">
        <f t="shared" si="5"/>
        <v>87516389.62225242</v>
      </c>
      <c r="X45" s="153">
        <f t="shared" si="5"/>
        <v>87536003.33574912</v>
      </c>
      <c r="Y45" s="153">
        <f t="shared" si="5"/>
        <v>87516389.62225242</v>
      </c>
      <c r="Z45" s="153">
        <f t="shared" si="5"/>
        <v>87536003.33574912</v>
      </c>
      <c r="AA45" s="153">
        <f t="shared" si="5"/>
        <v>87516389.62225242</v>
      </c>
      <c r="AB45" s="153">
        <f t="shared" si="5"/>
        <v>87536003.33574912</v>
      </c>
      <c r="AC45" s="153">
        <f t="shared" si="5"/>
        <v>32813742.679970488</v>
      </c>
      <c r="AD45" s="153">
        <f t="shared" si="5"/>
        <v>0</v>
      </c>
      <c r="AE45" s="153">
        <f t="shared" si="5"/>
        <v>0</v>
      </c>
      <c r="AF45" s="153">
        <f t="shared" si="5"/>
        <v>0</v>
      </c>
      <c r="AG45" s="153">
        <f t="shared" si="5"/>
        <v>0</v>
      </c>
      <c r="AH45" s="153"/>
      <c r="AI45" s="153"/>
      <c r="AJ45" s="153"/>
      <c r="AK45" s="153"/>
      <c r="AL45" s="153"/>
      <c r="AM45" s="153"/>
      <c r="AN45" s="153"/>
      <c r="AO45" s="153"/>
      <c r="AP45" s="153"/>
      <c r="AQ45" s="153"/>
      <c r="AT45" s="214"/>
      <c r="AU45" s="214"/>
    </row>
    <row r="46" spans="1:47" s="152" customFormat="1" ht="6" customHeight="1" x14ac:dyDescent="0.35">
      <c r="D46" s="159"/>
      <c r="E46" s="155"/>
      <c r="F46" s="221"/>
      <c r="G46" s="159"/>
      <c r="H46" s="155"/>
      <c r="I46" s="159"/>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204"/>
      <c r="AI46" s="204"/>
      <c r="AJ46" s="204"/>
      <c r="AK46" s="204"/>
      <c r="AL46" s="204"/>
      <c r="AM46" s="204"/>
      <c r="AN46" s="204"/>
      <c r="AO46" s="204"/>
      <c r="AP46" s="204"/>
      <c r="AQ46" s="204"/>
      <c r="AT46" s="214"/>
      <c r="AU46" s="214"/>
    </row>
    <row r="47" spans="1:47" s="152" customFormat="1" ht="6" customHeight="1" x14ac:dyDescent="0.35">
      <c r="D47" s="151"/>
      <c r="F47" s="213"/>
      <c r="G47" s="313"/>
      <c r="I47" s="151"/>
      <c r="AT47" s="214"/>
      <c r="AU47" s="214"/>
    </row>
    <row r="48" spans="1:47" s="313" customFormat="1" ht="15" customHeight="1" x14ac:dyDescent="0.35">
      <c r="D48" s="162"/>
      <c r="F48" s="312"/>
      <c r="I48" s="1939"/>
      <c r="J48" s="1939"/>
      <c r="K48" s="1939"/>
      <c r="L48" s="1939"/>
      <c r="M48" s="1939"/>
      <c r="N48" s="1939"/>
      <c r="O48" s="1939"/>
      <c r="P48" s="1939"/>
      <c r="Q48" s="1939"/>
      <c r="R48" s="1939"/>
      <c r="S48" s="1939"/>
      <c r="T48" s="1939"/>
      <c r="U48" s="1939"/>
      <c r="V48" s="1939"/>
      <c r="W48" s="1939"/>
      <c r="X48" s="1939"/>
      <c r="Y48" s="1939"/>
      <c r="Z48" s="1939"/>
      <c r="AA48" s="1939"/>
      <c r="AB48" s="1939"/>
      <c r="AC48" s="1939"/>
      <c r="AD48" s="1939"/>
      <c r="AE48" s="1939"/>
      <c r="AF48" s="1939"/>
      <c r="AG48" s="1939"/>
      <c r="AH48" s="153"/>
      <c r="AI48" s="153"/>
      <c r="AJ48" s="153"/>
      <c r="AK48" s="153"/>
      <c r="AL48" s="153"/>
      <c r="AM48" s="153"/>
      <c r="AN48" s="153"/>
      <c r="AO48" s="153"/>
      <c r="AP48" s="153"/>
      <c r="AQ48" s="153"/>
      <c r="AT48" s="214"/>
      <c r="AU48" s="214"/>
    </row>
    <row r="49" spans="4:47" s="313" customFormat="1" ht="15" customHeight="1" x14ac:dyDescent="0.35">
      <c r="G49" s="1570" t="str">
        <f>"(1 + ATWACC)/(1 + Revenue Escalation Rate) - 1 ="</f>
        <v>(1 + ATWACC)/(1 + Revenue Escalation Rate) - 1 =</v>
      </c>
      <c r="H49" s="1571">
        <f>(1+$I$26)/(1+$I$25)-1</f>
        <v>9.5187440099999909E-2</v>
      </c>
      <c r="L49" s="153"/>
      <c r="M49" s="153"/>
      <c r="N49" s="158"/>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T49" s="214"/>
      <c r="AU49" s="214"/>
    </row>
    <row r="50" spans="4:47" s="313" customFormat="1" ht="6" customHeight="1" thickBot="1" x14ac:dyDescent="0.4">
      <c r="E50" s="1572"/>
      <c r="F50" s="1572"/>
      <c r="G50" s="1573"/>
      <c r="H50" s="1573"/>
      <c r="I50" s="157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T50" s="214"/>
      <c r="AU50" s="214"/>
    </row>
    <row r="51" spans="4:47" s="313" customFormat="1" ht="6" customHeight="1" thickTop="1" x14ac:dyDescent="0.35">
      <c r="E51" s="158"/>
      <c r="F51" s="158"/>
      <c r="G51" s="154"/>
      <c r="H51" s="154"/>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T51" s="214"/>
      <c r="AU51" s="214"/>
    </row>
    <row r="52" spans="4:47" s="313" customFormat="1" ht="30" customHeight="1" x14ac:dyDescent="0.35">
      <c r="E52" s="1574" t="s">
        <v>243</v>
      </c>
      <c r="F52" s="1574" t="s">
        <v>560</v>
      </c>
      <c r="G52" s="1574" t="s">
        <v>560</v>
      </c>
      <c r="H52" s="1574" t="s">
        <v>560</v>
      </c>
      <c r="I52" s="1575" t="s">
        <v>229</v>
      </c>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T52" s="214"/>
      <c r="AU52" s="214"/>
    </row>
    <row r="53" spans="4:47" s="313" customFormat="1" ht="15" customHeight="1" x14ac:dyDescent="0.35">
      <c r="E53" s="1576" t="s">
        <v>244</v>
      </c>
      <c r="F53" s="1576" t="s">
        <v>245</v>
      </c>
      <c r="G53" s="1576" t="s">
        <v>245</v>
      </c>
      <c r="H53" s="1576" t="s">
        <v>245</v>
      </c>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T53" s="214"/>
      <c r="AU53" s="214"/>
    </row>
    <row r="54" spans="4:47" s="313" customFormat="1" ht="15" customHeight="1" x14ac:dyDescent="0.35">
      <c r="E54" s="1577" t="str">
        <f>"("&amp;YEAR($I$8)&amp;"$m)"</f>
        <v>(2028$m)</v>
      </c>
      <c r="F54" s="1577" t="str">
        <f>"("&amp;YEAR($I$8)&amp;"$m/yr)"</f>
        <v>(2028$m/yr)</v>
      </c>
      <c r="G54" s="1577" t="str">
        <f>"("&amp;YEAR($I$8)&amp;"$/kW-yr)"</f>
        <v>(2028$/kW-yr)</v>
      </c>
      <c r="H54" s="1577" t="str">
        <f>"("&amp;YEAR($I$8)&amp;"$/MW-day)"</f>
        <v>(2028$/MW-day)</v>
      </c>
      <c r="I54" s="1577" t="s">
        <v>10</v>
      </c>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T54" s="214"/>
      <c r="AU54" s="214"/>
    </row>
    <row r="55" spans="4:47" s="313" customFormat="1" ht="15" customHeight="1" x14ac:dyDescent="0.35">
      <c r="D55" s="166" t="str">
        <f>"(+) Investment Costs"</f>
        <v>(+) Investment Costs</v>
      </c>
      <c r="E55" s="153">
        <f>($I$13*$I$21)/1000</f>
        <v>2304.2550912588003</v>
      </c>
      <c r="F55" s="153">
        <f>(-PMT($H$49, $I$14, $E55, 0, 1)*(1 + $I$26)^0.5)/(1-$I$27)</f>
        <v>344.19009352740852</v>
      </c>
      <c r="G55" s="153">
        <f>($F55*1000)/$I$13</f>
        <v>269.71101500097836</v>
      </c>
      <c r="H55" s="153">
        <f>G55*(1000/365)</f>
        <v>738.93428767391333</v>
      </c>
      <c r="I55" s="1578">
        <f ca="1">($G$60-$G$56)/$I$20</f>
        <v>0.16867594984333079</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T55" s="214"/>
      <c r="AU55" s="214"/>
    </row>
    <row r="56" spans="4:47" s="313" customFormat="1" ht="15" customHeight="1" x14ac:dyDescent="0.35">
      <c r="D56" s="166" t="str">
        <f>"(+) Operating Costs"</f>
        <v>(+) Operating Costs</v>
      </c>
      <c r="E56" s="153">
        <f ca="1">((1-$I$27)*NPV($I$26, $I$42:$AG$42)*(1+$I$26)^0.5)/1000000</f>
        <v>491.02097053046828</v>
      </c>
      <c r="F56" s="153">
        <f ca="1">(-PMT($H$49, $I$14, $E56, 0, 1)*(1 + $I$26)^0.5)/(1-$I$27)</f>
        <v>73.34455044145075</v>
      </c>
      <c r="G56" s="153">
        <f ca="1">($F56*1000)/$I$13</f>
        <v>57.47356915947632</v>
      </c>
      <c r="H56" s="153">
        <f ca="1">G56*(1000/365)</f>
        <v>157.46183331363375</v>
      </c>
      <c r="I56" s="1579"/>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T56" s="214"/>
      <c r="AU56" s="214"/>
    </row>
    <row r="57" spans="4:47" s="313" customFormat="1" ht="15" customHeight="1" x14ac:dyDescent="0.35">
      <c r="D57" s="166" t="s">
        <v>252</v>
      </c>
      <c r="E57" s="153">
        <f>-((NPV($I$26,$I$77:$AG$77)*(1+$I$26)^0.5)/1000000)</f>
        <v>0</v>
      </c>
      <c r="F57" s="153">
        <f>(-PMT($H$49, $I$14, $E57, 0, 1)*(1 + $I$26)^0.5)/(1-$I$27)</f>
        <v>0</v>
      </c>
      <c r="G57" s="153">
        <f>($F57*1000)/$I$13</f>
        <v>0</v>
      </c>
      <c r="H57" s="153">
        <f>G57*(1000/365)</f>
        <v>0</v>
      </c>
      <c r="I57" s="1579"/>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T57" s="214"/>
      <c r="AU57" s="214"/>
    </row>
    <row r="58" spans="4:47" s="313" customFormat="1" ht="15" customHeight="1" x14ac:dyDescent="0.35">
      <c r="D58" s="166" t="str">
        <f>"(-) Depreciation Tax Shield"</f>
        <v>(-) Depreciation Tax Shield</v>
      </c>
      <c r="E58" s="153">
        <f>(-$I$27*NPV($I$26, $I$45:$AG$45)*(1+$I$26)^0.5)/1000000</f>
        <v>-258.81261612251757</v>
      </c>
      <c r="F58" s="153">
        <f>(-PMT($H$49, $I$14, $E58, 0, 1)*(1 + $I$26)^0.5)/(1-$I$27)</f>
        <v>-38.659234772751809</v>
      </c>
      <c r="G58" s="153">
        <f>($F58*1000)/$I$13</f>
        <v>-30.29378720015281</v>
      </c>
      <c r="H58" s="153">
        <f>G58*(1000/365)</f>
        <v>-82.996677260692621</v>
      </c>
      <c r="I58" s="1579"/>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T58" s="214"/>
      <c r="AU58" s="214"/>
    </row>
    <row r="59" spans="4:47" s="313" customFormat="1" ht="6" customHeight="1" x14ac:dyDescent="0.35">
      <c r="D59" s="166"/>
      <c r="E59" s="1580"/>
      <c r="F59" s="1580"/>
      <c r="G59" s="1581"/>
      <c r="H59" s="1581"/>
      <c r="I59" s="1579"/>
      <c r="J59" s="1579"/>
      <c r="K59" s="1579"/>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T59" s="214"/>
      <c r="AU59" s="214"/>
    </row>
    <row r="60" spans="4:47" s="313" customFormat="1" ht="15" customHeight="1" x14ac:dyDescent="0.35">
      <c r="D60" s="173" t="s">
        <v>64</v>
      </c>
      <c r="E60" s="153">
        <f ca="1">SUM(E$55:E$58)</f>
        <v>2536.4634456667509</v>
      </c>
      <c r="F60" s="153">
        <f ca="1">SUM(F$55:F$58)</f>
        <v>378.87540919610746</v>
      </c>
      <c r="G60" s="153">
        <f ca="1">SUM($G55:$G58)</f>
        <v>296.89079696030188</v>
      </c>
      <c r="H60" s="153">
        <f ca="1">G60*(1000/365)</f>
        <v>813.39944372685443</v>
      </c>
      <c r="J60" s="1579"/>
      <c r="K60" s="1579"/>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T60" s="214"/>
      <c r="AU60" s="214"/>
    </row>
    <row r="61" spans="4:47" s="313" customFormat="1" ht="6" customHeight="1" thickBot="1" x14ac:dyDescent="0.4">
      <c r="E61" s="1572"/>
      <c r="F61" s="1572"/>
      <c r="G61" s="1573"/>
      <c r="H61" s="1573"/>
      <c r="I61" s="238"/>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T61" s="214"/>
      <c r="AU61" s="214"/>
    </row>
    <row r="62" spans="4:47" s="313" customFormat="1" ht="6" customHeight="1" thickTop="1" x14ac:dyDescent="0.35">
      <c r="E62" s="158"/>
      <c r="F62" s="158"/>
      <c r="G62" s="154"/>
      <c r="H62" s="154"/>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T62" s="214"/>
      <c r="AU62" s="214"/>
    </row>
    <row r="63" spans="4:47" s="313" customFormat="1" ht="15" customHeight="1" x14ac:dyDescent="0.35">
      <c r="F63" s="312"/>
      <c r="I63" s="158"/>
      <c r="J63" s="158"/>
      <c r="K63" s="154"/>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T63" s="214"/>
      <c r="AU63" s="214"/>
    </row>
    <row r="64" spans="4:47" s="313" customFormat="1" ht="6" customHeight="1" x14ac:dyDescent="0.35">
      <c r="D64" s="159"/>
      <c r="E64" s="159"/>
      <c r="F64" s="244"/>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246"/>
      <c r="AI64" s="246"/>
      <c r="AJ64" s="246"/>
      <c r="AK64" s="246"/>
      <c r="AL64" s="246"/>
      <c r="AM64" s="246"/>
      <c r="AN64" s="246"/>
      <c r="AO64" s="246"/>
      <c r="AP64" s="246"/>
      <c r="AQ64" s="246"/>
      <c r="AT64" s="214"/>
      <c r="AU64" s="214"/>
    </row>
    <row r="65" spans="1:47" s="313" customFormat="1" ht="6" customHeight="1" x14ac:dyDescent="0.35">
      <c r="F65" s="312"/>
      <c r="AT65" s="214"/>
      <c r="AU65" s="214"/>
    </row>
    <row r="66" spans="1:47" s="313" customFormat="1" ht="15" customHeight="1" x14ac:dyDescent="0.35">
      <c r="D66" s="162" t="s">
        <v>65</v>
      </c>
      <c r="F66" s="312"/>
      <c r="AT66" s="214"/>
      <c r="AU66" s="214"/>
    </row>
    <row r="67" spans="1:47" s="152" customFormat="1" ht="15" customHeight="1" x14ac:dyDescent="0.35">
      <c r="A67" s="313">
        <f>MAX($A$7:A66)+1</f>
        <v>28</v>
      </c>
      <c r="D67" s="215" t="s">
        <v>27</v>
      </c>
      <c r="F67" s="213" t="str">
        <f>"["&amp;A67&amp;"]"</f>
        <v>[28]</v>
      </c>
      <c r="G67" s="313" t="str">
        <f>$F$40</f>
        <v>[22]</v>
      </c>
      <c r="I67" s="313">
        <f>I40</f>
        <v>2028</v>
      </c>
      <c r="J67" s="313">
        <f t="shared" ref="J67:AG67" si="6">J40</f>
        <v>2029</v>
      </c>
      <c r="K67" s="313">
        <f t="shared" si="6"/>
        <v>2030</v>
      </c>
      <c r="L67" s="313">
        <f t="shared" si="6"/>
        <v>2031</v>
      </c>
      <c r="M67" s="313">
        <f t="shared" si="6"/>
        <v>2032</v>
      </c>
      <c r="N67" s="313">
        <f t="shared" si="6"/>
        <v>2033</v>
      </c>
      <c r="O67" s="313">
        <f t="shared" si="6"/>
        <v>2034</v>
      </c>
      <c r="P67" s="313">
        <f t="shared" si="6"/>
        <v>2035</v>
      </c>
      <c r="Q67" s="313">
        <f t="shared" si="6"/>
        <v>2036</v>
      </c>
      <c r="R67" s="313">
        <f t="shared" si="6"/>
        <v>2037</v>
      </c>
      <c r="S67" s="313">
        <f t="shared" si="6"/>
        <v>2038</v>
      </c>
      <c r="T67" s="313">
        <f t="shared" si="6"/>
        <v>2039</v>
      </c>
      <c r="U67" s="313">
        <f t="shared" si="6"/>
        <v>2040</v>
      </c>
      <c r="V67" s="313">
        <f t="shared" si="6"/>
        <v>2041</v>
      </c>
      <c r="W67" s="313">
        <f t="shared" si="6"/>
        <v>2042</v>
      </c>
      <c r="X67" s="313">
        <f t="shared" si="6"/>
        <v>2043</v>
      </c>
      <c r="Y67" s="313">
        <f t="shared" si="6"/>
        <v>2044</v>
      </c>
      <c r="Z67" s="313">
        <f t="shared" si="6"/>
        <v>2045</v>
      </c>
      <c r="AA67" s="313">
        <f t="shared" si="6"/>
        <v>2046</v>
      </c>
      <c r="AB67" s="313">
        <f t="shared" si="6"/>
        <v>2047</v>
      </c>
      <c r="AC67" s="313">
        <f t="shared" si="6"/>
        <v>2048</v>
      </c>
      <c r="AD67" s="313">
        <f t="shared" si="6"/>
        <v>2049</v>
      </c>
      <c r="AE67" s="313">
        <f t="shared" si="6"/>
        <v>2050</v>
      </c>
      <c r="AF67" s="313">
        <f t="shared" si="6"/>
        <v>2051</v>
      </c>
      <c r="AG67" s="313">
        <f t="shared" si="6"/>
        <v>2052</v>
      </c>
      <c r="AT67" s="214"/>
      <c r="AU67" s="214"/>
    </row>
    <row r="68" spans="1:47" s="152" customFormat="1" ht="6" customHeight="1" x14ac:dyDescent="0.35">
      <c r="A68" s="313"/>
      <c r="D68" s="215"/>
      <c r="F68" s="213"/>
      <c r="G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T68" s="214"/>
      <c r="AU68" s="214"/>
    </row>
    <row r="69" spans="1:47" s="152" customFormat="1" ht="15" customHeight="1" x14ac:dyDescent="0.35">
      <c r="A69" s="151">
        <f>MAX($A$7:A67)+1</f>
        <v>29</v>
      </c>
      <c r="D69" s="215" t="s">
        <v>66</v>
      </c>
      <c r="E69" s="313" t="s">
        <v>575</v>
      </c>
      <c r="F69" s="213" t="str">
        <f>"["&amp;A69&amp;"]"</f>
        <v>[29]</v>
      </c>
      <c r="G69" s="313" t="s">
        <v>39</v>
      </c>
      <c r="I69" s="276">
        <f t="shared" ref="I69:AG69" ca="1" si="7">($G$60*(1+$I$25)^(I$41-1))*IF(I$41&gt;$I$14,IF(MOD($I$14,H$41)&lt;1,MOD($I$14,H$41),0),1)</f>
        <v>296.89079696030188</v>
      </c>
      <c r="J69" s="276">
        <f t="shared" ca="1" si="7"/>
        <v>296.89079696030188</v>
      </c>
      <c r="K69" s="276">
        <f t="shared" ca="1" si="7"/>
        <v>296.89079696030188</v>
      </c>
      <c r="L69" s="276">
        <f t="shared" ca="1" si="7"/>
        <v>296.89079696030188</v>
      </c>
      <c r="M69" s="276">
        <f t="shared" ca="1" si="7"/>
        <v>296.89079696030188</v>
      </c>
      <c r="N69" s="276">
        <f t="shared" ca="1" si="7"/>
        <v>296.89079696030188</v>
      </c>
      <c r="O69" s="276">
        <f t="shared" ca="1" si="7"/>
        <v>296.89079696030188</v>
      </c>
      <c r="P69" s="276">
        <f t="shared" ca="1" si="7"/>
        <v>296.89079696030188</v>
      </c>
      <c r="Q69" s="276">
        <f t="shared" ca="1" si="7"/>
        <v>296.89079696030188</v>
      </c>
      <c r="R69" s="276">
        <f t="shared" ca="1" si="7"/>
        <v>296.89079696030188</v>
      </c>
      <c r="S69" s="276">
        <f t="shared" ca="1" si="7"/>
        <v>296.89079696030188</v>
      </c>
      <c r="T69" s="276">
        <f t="shared" ca="1" si="7"/>
        <v>296.89079696030188</v>
      </c>
      <c r="U69" s="276">
        <f t="shared" ca="1" si="7"/>
        <v>296.89079696030188</v>
      </c>
      <c r="V69" s="276">
        <f t="shared" ca="1" si="7"/>
        <v>296.89079696030188</v>
      </c>
      <c r="W69" s="276">
        <f t="shared" ca="1" si="7"/>
        <v>296.89079696030188</v>
      </c>
      <c r="X69" s="276">
        <f t="shared" ca="1" si="7"/>
        <v>296.89079696030188</v>
      </c>
      <c r="Y69" s="276">
        <f t="shared" ca="1" si="7"/>
        <v>296.89079696030188</v>
      </c>
      <c r="Z69" s="276">
        <f t="shared" ca="1" si="7"/>
        <v>296.89079696030188</v>
      </c>
      <c r="AA69" s="276">
        <f t="shared" ca="1" si="7"/>
        <v>296.89079696030188</v>
      </c>
      <c r="AB69" s="276">
        <f t="shared" ca="1" si="7"/>
        <v>296.89079696030188</v>
      </c>
      <c r="AC69" s="276">
        <f t="shared" ca="1" si="7"/>
        <v>0</v>
      </c>
      <c r="AD69" s="276">
        <f t="shared" ca="1" si="7"/>
        <v>0</v>
      </c>
      <c r="AE69" s="276">
        <f t="shared" ca="1" si="7"/>
        <v>0</v>
      </c>
      <c r="AF69" s="276">
        <f t="shared" ca="1" si="7"/>
        <v>0</v>
      </c>
      <c r="AG69" s="276">
        <f t="shared" ca="1" si="7"/>
        <v>0</v>
      </c>
      <c r="AH69" s="153"/>
      <c r="AI69" s="153"/>
      <c r="AJ69" s="153"/>
      <c r="AK69" s="153"/>
      <c r="AL69" s="153"/>
      <c r="AM69" s="153"/>
      <c r="AN69" s="153"/>
      <c r="AO69" s="153"/>
      <c r="AP69" s="153"/>
      <c r="AQ69" s="153"/>
      <c r="AT69" s="214"/>
      <c r="AU69" s="214"/>
    </row>
    <row r="70" spans="1:47" s="152" customFormat="1" ht="15" customHeight="1" x14ac:dyDescent="0.35">
      <c r="A70" s="151">
        <f>MAX($A$7:A69)+1</f>
        <v>30</v>
      </c>
      <c r="D70" s="223" t="s">
        <v>66</v>
      </c>
      <c r="E70" s="162" t="s">
        <v>259</v>
      </c>
      <c r="F70" s="224" t="str">
        <f>"["&amp;A70&amp;"]"</f>
        <v>[30]</v>
      </c>
      <c r="G70" s="2129" t="s">
        <v>39</v>
      </c>
      <c r="H70" s="161"/>
      <c r="I70" s="164">
        <f t="shared" ref="I70:AG70" ca="1" si="8">$I$13*I$69*1000</f>
        <v>378875409.19610745</v>
      </c>
      <c r="J70" s="165">
        <f t="shared" ca="1" si="8"/>
        <v>378875409.19610745</v>
      </c>
      <c r="K70" s="165">
        <f t="shared" ca="1" si="8"/>
        <v>378875409.19610745</v>
      </c>
      <c r="L70" s="165">
        <f t="shared" ca="1" si="8"/>
        <v>378875409.19610745</v>
      </c>
      <c r="M70" s="165">
        <f t="shared" ca="1" si="8"/>
        <v>378875409.19610745</v>
      </c>
      <c r="N70" s="165">
        <f t="shared" ca="1" si="8"/>
        <v>378875409.19610745</v>
      </c>
      <c r="O70" s="165">
        <f t="shared" ca="1" si="8"/>
        <v>378875409.19610745</v>
      </c>
      <c r="P70" s="165">
        <f t="shared" ca="1" si="8"/>
        <v>378875409.19610745</v>
      </c>
      <c r="Q70" s="165">
        <f t="shared" ca="1" si="8"/>
        <v>378875409.19610745</v>
      </c>
      <c r="R70" s="165">
        <f t="shared" ca="1" si="8"/>
        <v>378875409.19610745</v>
      </c>
      <c r="S70" s="165">
        <f t="shared" ca="1" si="8"/>
        <v>378875409.19610745</v>
      </c>
      <c r="T70" s="165">
        <f t="shared" ca="1" si="8"/>
        <v>378875409.19610745</v>
      </c>
      <c r="U70" s="165">
        <f t="shared" ca="1" si="8"/>
        <v>378875409.19610745</v>
      </c>
      <c r="V70" s="165">
        <f t="shared" ca="1" si="8"/>
        <v>378875409.19610745</v>
      </c>
      <c r="W70" s="165">
        <f t="shared" ca="1" si="8"/>
        <v>378875409.19610745</v>
      </c>
      <c r="X70" s="165">
        <f t="shared" ca="1" si="8"/>
        <v>378875409.19610745</v>
      </c>
      <c r="Y70" s="165">
        <f t="shared" ca="1" si="8"/>
        <v>378875409.19610745</v>
      </c>
      <c r="Z70" s="165">
        <f t="shared" ca="1" si="8"/>
        <v>378875409.19610745</v>
      </c>
      <c r="AA70" s="165">
        <f t="shared" ca="1" si="8"/>
        <v>378875409.19610745</v>
      </c>
      <c r="AB70" s="165">
        <f t="shared" ca="1" si="8"/>
        <v>378875409.19610745</v>
      </c>
      <c r="AC70" s="165">
        <f t="shared" ca="1" si="8"/>
        <v>0</v>
      </c>
      <c r="AD70" s="165">
        <f t="shared" ca="1" si="8"/>
        <v>0</v>
      </c>
      <c r="AE70" s="165">
        <f t="shared" ca="1" si="8"/>
        <v>0</v>
      </c>
      <c r="AF70" s="165">
        <f t="shared" ca="1" si="8"/>
        <v>0</v>
      </c>
      <c r="AG70" s="165">
        <f t="shared" ca="1" si="8"/>
        <v>0</v>
      </c>
      <c r="AH70" s="165"/>
      <c r="AI70" s="165"/>
      <c r="AJ70" s="165"/>
      <c r="AK70" s="165"/>
      <c r="AL70" s="165"/>
      <c r="AM70" s="165"/>
      <c r="AN70" s="165"/>
      <c r="AO70" s="165"/>
      <c r="AP70" s="165"/>
      <c r="AQ70" s="165"/>
      <c r="AT70" s="214"/>
      <c r="AU70" s="214"/>
    </row>
    <row r="71" spans="1:47" s="152" customFormat="1" ht="6" customHeight="1" x14ac:dyDescent="0.35">
      <c r="D71" s="215"/>
      <c r="E71" s="313"/>
      <c r="F71" s="213"/>
      <c r="G71" s="313"/>
      <c r="I71" s="153"/>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T71" s="214"/>
      <c r="AU71" s="214"/>
    </row>
    <row r="72" spans="1:47" s="152" customFormat="1" ht="15" customHeight="1" x14ac:dyDescent="0.35">
      <c r="A72" s="151">
        <f>MAX($A$7:A71)+1</f>
        <v>31</v>
      </c>
      <c r="D72" s="223" t="s">
        <v>63</v>
      </c>
      <c r="E72" s="162" t="s">
        <v>259</v>
      </c>
      <c r="F72" s="224" t="str">
        <f t="shared" ref="F72:F80" si="9">"["&amp;A72&amp;"]"</f>
        <v>[31]</v>
      </c>
      <c r="G72" s="2129" t="str">
        <f>$F$42</f>
        <v>[24]</v>
      </c>
      <c r="H72" s="161"/>
      <c r="I72" s="164">
        <f ca="1">I$42</f>
        <v>65380643.227225207</v>
      </c>
      <c r="J72" s="164">
        <f t="shared" ref="J72:AG72" ca="1" si="10">J$42</f>
        <v>66367396.849890463</v>
      </c>
      <c r="K72" s="164">
        <f t="shared" ca="1" si="10"/>
        <v>67389881.595332026</v>
      </c>
      <c r="L72" s="164">
        <f t="shared" ca="1" si="10"/>
        <v>68441773.281798959</v>
      </c>
      <c r="M72" s="164">
        <f t="shared" ca="1" si="10"/>
        <v>69546184.792847499</v>
      </c>
      <c r="N72" s="164">
        <f t="shared" ca="1" si="10"/>
        <v>70694579.361424267</v>
      </c>
      <c r="O72" s="164">
        <f t="shared" ca="1" si="10"/>
        <v>71878049.586947098</v>
      </c>
      <c r="P72" s="164">
        <f t="shared" ca="1" si="10"/>
        <v>73118402.845152423</v>
      </c>
      <c r="Q72" s="164">
        <f t="shared" ca="1" si="10"/>
        <v>74406477.860244691</v>
      </c>
      <c r="R72" s="164">
        <f t="shared" ca="1" si="10"/>
        <v>75733087.27012299</v>
      </c>
      <c r="S72" s="164">
        <f t="shared" ca="1" si="10"/>
        <v>77119951.93884401</v>
      </c>
      <c r="T72" s="164">
        <f t="shared" ca="1" si="10"/>
        <v>78557920.045972005</v>
      </c>
      <c r="U72" s="164">
        <f t="shared" ca="1" si="10"/>
        <v>80037873.182365447</v>
      </c>
      <c r="V72" s="164">
        <f t="shared" ca="1" si="10"/>
        <v>81581619.934395164</v>
      </c>
      <c r="W72" s="164">
        <f t="shared" ca="1" si="10"/>
        <v>83180117.512040675</v>
      </c>
      <c r="X72" s="164">
        <f t="shared" ca="1" si="10"/>
        <v>84828776.649540082</v>
      </c>
      <c r="Y72" s="164">
        <f t="shared" ca="1" si="10"/>
        <v>86537395.734759837</v>
      </c>
      <c r="Z72" s="164">
        <f t="shared" ca="1" si="10"/>
        <v>88304778.618276954</v>
      </c>
      <c r="AA72" s="164">
        <f t="shared" ca="1" si="10"/>
        <v>90127570.254356951</v>
      </c>
      <c r="AB72" s="164">
        <f t="shared" ca="1" si="10"/>
        <v>92020114.051160619</v>
      </c>
      <c r="AC72" s="164">
        <f t="shared" si="10"/>
        <v>0</v>
      </c>
      <c r="AD72" s="164">
        <f t="shared" si="10"/>
        <v>0</v>
      </c>
      <c r="AE72" s="164">
        <f t="shared" si="10"/>
        <v>0</v>
      </c>
      <c r="AF72" s="164">
        <f t="shared" si="10"/>
        <v>0</v>
      </c>
      <c r="AG72" s="164">
        <f t="shared" si="10"/>
        <v>0</v>
      </c>
      <c r="AH72" s="164"/>
      <c r="AI72" s="164"/>
      <c r="AJ72" s="164"/>
      <c r="AK72" s="164"/>
      <c r="AL72" s="164"/>
      <c r="AM72" s="164"/>
      <c r="AN72" s="164"/>
      <c r="AO72" s="164"/>
      <c r="AP72" s="164"/>
      <c r="AQ72" s="164"/>
      <c r="AT72" s="214"/>
      <c r="AU72" s="214"/>
    </row>
    <row r="73" spans="1:47" s="152" customFormat="1" ht="6" customHeight="1" x14ac:dyDescent="0.35">
      <c r="D73" s="215"/>
      <c r="E73" s="313"/>
      <c r="F73" s="213"/>
      <c r="G73" s="313"/>
      <c r="I73" s="153"/>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T73" s="214"/>
      <c r="AU73" s="214"/>
    </row>
    <row r="74" spans="1:47" s="152" customFormat="1" ht="15" customHeight="1" x14ac:dyDescent="0.35">
      <c r="A74" s="151">
        <f>MAX($A$7:A73)+1</f>
        <v>32</v>
      </c>
      <c r="D74" s="215" t="s">
        <v>62</v>
      </c>
      <c r="E74" s="313" t="s">
        <v>259</v>
      </c>
      <c r="F74" s="213" t="str">
        <f t="shared" si="9"/>
        <v>[32]</v>
      </c>
      <c r="G74" s="313" t="str">
        <f>$F$45</f>
        <v>[27]</v>
      </c>
      <c r="I74" s="153">
        <f>I$45</f>
        <v>91949088.872505456</v>
      </c>
      <c r="J74" s="153">
        <f t="shared" ref="J74:AG74" si="11">J$45</f>
        <v>140198824.07437479</v>
      </c>
      <c r="K74" s="153">
        <f t="shared" si="11"/>
        <v>129685873.64014634</v>
      </c>
      <c r="L74" s="153">
        <f t="shared" si="11"/>
        <v>119957471.74578571</v>
      </c>
      <c r="M74" s="153">
        <f t="shared" si="11"/>
        <v>110974390.96429947</v>
      </c>
      <c r="N74" s="153">
        <f t="shared" si="11"/>
        <v>102638562.72820415</v>
      </c>
      <c r="O74" s="153">
        <f t="shared" si="11"/>
        <v>94949987.037499771</v>
      </c>
      <c r="P74" s="153">
        <f t="shared" si="11"/>
        <v>87830209.038199544</v>
      </c>
      <c r="Q74" s="153">
        <f t="shared" si="11"/>
        <v>87536003.33574912</v>
      </c>
      <c r="R74" s="153">
        <f t="shared" si="11"/>
        <v>87536003.33574912</v>
      </c>
      <c r="S74" s="153">
        <f t="shared" si="11"/>
        <v>87536003.33574912</v>
      </c>
      <c r="T74" s="153">
        <f t="shared" si="11"/>
        <v>87536003.33574912</v>
      </c>
      <c r="U74" s="153">
        <f t="shared" si="11"/>
        <v>87536003.33574912</v>
      </c>
      <c r="V74" s="153">
        <f t="shared" si="11"/>
        <v>87536003.33574912</v>
      </c>
      <c r="W74" s="153">
        <f t="shared" si="11"/>
        <v>87516389.62225242</v>
      </c>
      <c r="X74" s="153">
        <f t="shared" si="11"/>
        <v>87536003.33574912</v>
      </c>
      <c r="Y74" s="153">
        <f t="shared" si="11"/>
        <v>87516389.62225242</v>
      </c>
      <c r="Z74" s="153">
        <f t="shared" si="11"/>
        <v>87536003.33574912</v>
      </c>
      <c r="AA74" s="153">
        <f t="shared" si="11"/>
        <v>87516389.62225242</v>
      </c>
      <c r="AB74" s="153">
        <f t="shared" si="11"/>
        <v>87536003.33574912</v>
      </c>
      <c r="AC74" s="153">
        <f t="shared" si="11"/>
        <v>32813742.679970488</v>
      </c>
      <c r="AD74" s="153">
        <f t="shared" si="11"/>
        <v>0</v>
      </c>
      <c r="AE74" s="153">
        <f t="shared" si="11"/>
        <v>0</v>
      </c>
      <c r="AF74" s="153">
        <f t="shared" si="11"/>
        <v>0</v>
      </c>
      <c r="AG74" s="153">
        <f t="shared" si="11"/>
        <v>0</v>
      </c>
      <c r="AH74" s="153"/>
      <c r="AI74" s="153"/>
      <c r="AJ74" s="153"/>
      <c r="AK74" s="153"/>
      <c r="AL74" s="153"/>
      <c r="AM74" s="153"/>
      <c r="AN74" s="153"/>
      <c r="AO74" s="153"/>
      <c r="AP74" s="153"/>
      <c r="AQ74" s="153"/>
      <c r="AT74" s="214"/>
      <c r="AU74" s="214"/>
    </row>
    <row r="75" spans="1:47" s="152" customFormat="1" ht="15" customHeight="1" x14ac:dyDescent="0.35">
      <c r="A75" s="151">
        <f>MAX($A$7:A74)+1</f>
        <v>33</v>
      </c>
      <c r="D75" s="223" t="s">
        <v>254</v>
      </c>
      <c r="E75" s="162" t="s">
        <v>259</v>
      </c>
      <c r="F75" s="224" t="str">
        <f t="shared" si="9"/>
        <v>[33]</v>
      </c>
      <c r="G75" s="2129" t="s">
        <v>39</v>
      </c>
      <c r="H75" s="161"/>
      <c r="I75" s="164">
        <f t="shared" ref="I75:AG75" ca="1" si="12">$I$27*(I$70-I$72-I$74)</f>
        <v>60508776.874239527</v>
      </c>
      <c r="J75" s="165">
        <f t="shared" ca="1" si="12"/>
        <v>47061257.809993811</v>
      </c>
      <c r="K75" s="165">
        <f t="shared" ca="1" si="12"/>
        <v>49653303.289380975</v>
      </c>
      <c r="L75" s="165">
        <f t="shared" ca="1" si="12"/>
        <v>52023040.433871113</v>
      </c>
      <c r="M75" s="165">
        <f t="shared" ca="1" si="12"/>
        <v>54174870.463682324</v>
      </c>
      <c r="N75" s="165">
        <f t="shared" ca="1" si="12"/>
        <v>56137909.534388661</v>
      </c>
      <c r="O75" s="165">
        <f t="shared" ca="1" si="12"/>
        <v>57914590.44414451</v>
      </c>
      <c r="P75" s="165">
        <f t="shared" ca="1" si="12"/>
        <v>59520384.808857083</v>
      </c>
      <c r="Q75" s="165">
        <f t="shared" ca="1" si="12"/>
        <v>59248938.228319034</v>
      </c>
      <c r="R75" s="165">
        <f t="shared" ca="1" si="12"/>
        <v>58886613.339683659</v>
      </c>
      <c r="S75" s="165">
        <f t="shared" ca="1" si="12"/>
        <v>58507831.474497907</v>
      </c>
      <c r="T75" s="165">
        <f t="shared" ca="1" si="12"/>
        <v>58115092.187111013</v>
      </c>
      <c r="U75" s="165">
        <f t="shared" ca="1" si="12"/>
        <v>57710885.906546086</v>
      </c>
      <c r="V75" s="165">
        <f t="shared" ca="1" si="12"/>
        <v>57289256.249884993</v>
      </c>
      <c r="W75" s="165">
        <f t="shared" ca="1" si="12"/>
        <v>56858029.910024799</v>
      </c>
      <c r="X75" s="165">
        <f t="shared" ca="1" si="12"/>
        <v>56402389.560687892</v>
      </c>
      <c r="Y75" s="165">
        <f t="shared" ca="1" si="12"/>
        <v>55941086.724557512</v>
      </c>
      <c r="Z75" s="165">
        <f t="shared" ca="1" si="12"/>
        <v>55453020.426984504</v>
      </c>
      <c r="AA75" s="165">
        <f t="shared" ca="1" si="12"/>
        <v>54960534.669590645</v>
      </c>
      <c r="AB75" s="165">
        <f t="shared" ca="1" si="12"/>
        <v>54438284.298219882</v>
      </c>
      <c r="AC75" s="165">
        <f t="shared" ca="1" si="12"/>
        <v>-8962122.2144962195</v>
      </c>
      <c r="AD75" s="165">
        <f t="shared" ca="1" si="12"/>
        <v>0</v>
      </c>
      <c r="AE75" s="165">
        <f t="shared" ca="1" si="12"/>
        <v>0</v>
      </c>
      <c r="AF75" s="165">
        <f t="shared" ca="1" si="12"/>
        <v>0</v>
      </c>
      <c r="AG75" s="165">
        <f t="shared" ca="1" si="12"/>
        <v>0</v>
      </c>
      <c r="AH75" s="165"/>
      <c r="AI75" s="165"/>
      <c r="AJ75" s="165"/>
      <c r="AK75" s="165"/>
      <c r="AL75" s="165"/>
      <c r="AM75" s="165"/>
      <c r="AN75" s="165"/>
      <c r="AO75" s="165"/>
      <c r="AP75" s="165"/>
      <c r="AQ75" s="165"/>
      <c r="AT75" s="214"/>
      <c r="AU75" s="214"/>
    </row>
    <row r="76" spans="1:47" s="152" customFormat="1" ht="6" customHeight="1" x14ac:dyDescent="0.35">
      <c r="A76" s="151"/>
      <c r="D76" s="223"/>
      <c r="E76" s="162"/>
      <c r="F76" s="224"/>
      <c r="G76" s="2129"/>
      <c r="H76" s="161"/>
      <c r="I76" s="164"/>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T76" s="214"/>
      <c r="AU76" s="214"/>
    </row>
    <row r="77" spans="1:47" s="152" customFormat="1" ht="15" customHeight="1" x14ac:dyDescent="0.35">
      <c r="A77" s="151">
        <f>MAX($A$7:A76)+1</f>
        <v>34</v>
      </c>
      <c r="D77" s="215" t="s">
        <v>237</v>
      </c>
      <c r="E77" s="313" t="s">
        <v>259</v>
      </c>
      <c r="F77" s="213" t="str">
        <f>"["&amp;A77&amp;"]"</f>
        <v>[34]</v>
      </c>
      <c r="G77" s="313" t="s">
        <v>39</v>
      </c>
      <c r="H77" s="161"/>
      <c r="I77" s="153">
        <f>IF(AND(I$41=1, $I$11=Control!$K$10), $I$35, 0)</f>
        <v>0</v>
      </c>
      <c r="J77" s="153">
        <f>IF(AND(J$41=1, $I$11=Control!$K$10), $I$35, 0)</f>
        <v>0</v>
      </c>
      <c r="K77" s="153">
        <f>IF(AND(K$41=1, $I$11=Control!$K$10), $I$35, 0)</f>
        <v>0</v>
      </c>
      <c r="L77" s="153">
        <f>IF(AND(L$41=1, $I$11=Control!$K$10), $I$35, 0)</f>
        <v>0</v>
      </c>
      <c r="M77" s="153">
        <f>IF(AND(M$41=1, $I$11=Control!$K$10), $I$35, 0)</f>
        <v>0</v>
      </c>
      <c r="N77" s="153">
        <f>IF(AND(N$41=1, $I$11=Control!$K$10), $I$35, 0)</f>
        <v>0</v>
      </c>
      <c r="O77" s="153">
        <f>IF(AND(O$41=1, $I$11=Control!$K$10), $I$35, 0)</f>
        <v>0</v>
      </c>
      <c r="P77" s="153">
        <f>IF(AND(P$41=1, $I$11=Control!$K$10), $I$35, 0)</f>
        <v>0</v>
      </c>
      <c r="Q77" s="153">
        <f>IF(AND(Q$41=1, $I$11=Control!$K$10), $I$35, 0)</f>
        <v>0</v>
      </c>
      <c r="R77" s="153">
        <f>IF(AND(R$41=1, $I$11=Control!$K$10), $I$35, 0)</f>
        <v>0</v>
      </c>
      <c r="S77" s="153">
        <f>IF(AND(S$41=1, $I$11=Control!$K$10), $I$35, 0)</f>
        <v>0</v>
      </c>
      <c r="T77" s="153">
        <f>IF(AND(T$41=1, $I$11=Control!$K$10), $I$35, 0)</f>
        <v>0</v>
      </c>
      <c r="U77" s="153">
        <f>IF(AND(U$41=1, $I$11=Control!$K$10), $I$35, 0)</f>
        <v>0</v>
      </c>
      <c r="V77" s="153">
        <f>IF(AND(V$41=1, $I$11=Control!$K$10), $I$35, 0)</f>
        <v>0</v>
      </c>
      <c r="W77" s="153">
        <f>IF(AND(W$41=1, $I$11=Control!$K$10), $I$35, 0)</f>
        <v>0</v>
      </c>
      <c r="X77" s="153">
        <f>IF(AND(X$41=1, $I$11=Control!$K$10), $I$35, 0)</f>
        <v>0</v>
      </c>
      <c r="Y77" s="153">
        <f>IF(AND(Y$41=1, $I$11=Control!$K$10), $I$35, 0)</f>
        <v>0</v>
      </c>
      <c r="Z77" s="153">
        <f>IF(AND(Z$41=1, $I$11=Control!$K$10), $I$35, 0)</f>
        <v>0</v>
      </c>
      <c r="AA77" s="153">
        <f>IF(AND(AA$41=1, $I$11=Control!$K$10), $I$35, 0)</f>
        <v>0</v>
      </c>
      <c r="AB77" s="153">
        <f>IF(AND(AB$41=1, $I$11=Control!$K$10), $I$35, 0)</f>
        <v>0</v>
      </c>
      <c r="AC77" s="153">
        <f>IF(AND(AC$41=1, $I$11=Control!$K$10), $I$35, 0)</f>
        <v>0</v>
      </c>
      <c r="AD77" s="153">
        <f>IF(AND(AD$41=1, $I$11=Control!$K$10), $I$35, 0)</f>
        <v>0</v>
      </c>
      <c r="AE77" s="153">
        <f>IF(AND(AE$41=1, $I$11=Control!$K$10), $I$35, 0)</f>
        <v>0</v>
      </c>
      <c r="AF77" s="153">
        <f>IF(AND(AF$41=1, $I$11=Control!$K$10), $I$35, 0)</f>
        <v>0</v>
      </c>
      <c r="AG77" s="153">
        <f>IF(AND(AG$41=1, $I$11=Control!$K$10), $I$35, 0)</f>
        <v>0</v>
      </c>
      <c r="AH77" s="153"/>
      <c r="AI77" s="153"/>
      <c r="AJ77" s="153"/>
      <c r="AK77" s="153"/>
      <c r="AL77" s="153"/>
      <c r="AM77" s="153"/>
      <c r="AN77" s="153"/>
      <c r="AO77" s="153"/>
      <c r="AP77" s="153"/>
      <c r="AQ77" s="153"/>
      <c r="AT77" s="214"/>
      <c r="AU77" s="214"/>
    </row>
    <row r="78" spans="1:47" s="152" customFormat="1" ht="15" customHeight="1" x14ac:dyDescent="0.35">
      <c r="A78" s="151">
        <f>MAX($A$7:A77)+1</f>
        <v>35</v>
      </c>
      <c r="D78" s="223" t="s">
        <v>181</v>
      </c>
      <c r="E78" s="162" t="s">
        <v>259</v>
      </c>
      <c r="F78" s="224" t="str">
        <f>"["&amp;A78&amp;"]"</f>
        <v>[35]</v>
      </c>
      <c r="G78" s="2129" t="str">
        <f>$F$75&amp;" - "&amp;$F$77</f>
        <v>[33] - [34]</v>
      </c>
      <c r="H78" s="161"/>
      <c r="I78" s="164">
        <f ca="1">I$75-I77</f>
        <v>60508776.874239527</v>
      </c>
      <c r="J78" s="164">
        <f t="shared" ref="J78:AG78" ca="1" si="13">J$75-J77</f>
        <v>47061257.809993811</v>
      </c>
      <c r="K78" s="164">
        <f t="shared" ca="1" si="13"/>
        <v>49653303.289380975</v>
      </c>
      <c r="L78" s="164">
        <f t="shared" ca="1" si="13"/>
        <v>52023040.433871113</v>
      </c>
      <c r="M78" s="164">
        <f t="shared" ca="1" si="13"/>
        <v>54174870.463682324</v>
      </c>
      <c r="N78" s="164">
        <f t="shared" ca="1" si="13"/>
        <v>56137909.534388661</v>
      </c>
      <c r="O78" s="164">
        <f t="shared" ca="1" si="13"/>
        <v>57914590.44414451</v>
      </c>
      <c r="P78" s="164">
        <f t="shared" ca="1" si="13"/>
        <v>59520384.808857083</v>
      </c>
      <c r="Q78" s="164">
        <f t="shared" ca="1" si="13"/>
        <v>59248938.228319034</v>
      </c>
      <c r="R78" s="164">
        <f t="shared" ca="1" si="13"/>
        <v>58886613.339683659</v>
      </c>
      <c r="S78" s="164">
        <f t="shared" ca="1" si="13"/>
        <v>58507831.474497907</v>
      </c>
      <c r="T78" s="164">
        <f t="shared" ca="1" si="13"/>
        <v>58115092.187111013</v>
      </c>
      <c r="U78" s="164">
        <f t="shared" ca="1" si="13"/>
        <v>57710885.906546086</v>
      </c>
      <c r="V78" s="164">
        <f t="shared" ca="1" si="13"/>
        <v>57289256.249884993</v>
      </c>
      <c r="W78" s="164">
        <f t="shared" ca="1" si="13"/>
        <v>56858029.910024799</v>
      </c>
      <c r="X78" s="164">
        <f t="shared" ca="1" si="13"/>
        <v>56402389.560687892</v>
      </c>
      <c r="Y78" s="164">
        <f t="shared" ca="1" si="13"/>
        <v>55941086.724557512</v>
      </c>
      <c r="Z78" s="164">
        <f t="shared" ca="1" si="13"/>
        <v>55453020.426984504</v>
      </c>
      <c r="AA78" s="164">
        <f t="shared" ca="1" si="13"/>
        <v>54960534.669590645</v>
      </c>
      <c r="AB78" s="164">
        <f t="shared" ca="1" si="13"/>
        <v>54438284.298219882</v>
      </c>
      <c r="AC78" s="164">
        <f t="shared" ca="1" si="13"/>
        <v>-8962122.2144962195</v>
      </c>
      <c r="AD78" s="164">
        <f t="shared" ca="1" si="13"/>
        <v>0</v>
      </c>
      <c r="AE78" s="164">
        <f t="shared" ca="1" si="13"/>
        <v>0</v>
      </c>
      <c r="AF78" s="164">
        <f t="shared" ca="1" si="13"/>
        <v>0</v>
      </c>
      <c r="AG78" s="164">
        <f t="shared" ca="1" si="13"/>
        <v>0</v>
      </c>
      <c r="AH78" s="164"/>
      <c r="AI78" s="164"/>
      <c r="AJ78" s="164"/>
      <c r="AK78" s="164"/>
      <c r="AL78" s="164"/>
      <c r="AM78" s="164"/>
      <c r="AN78" s="164"/>
      <c r="AO78" s="164"/>
      <c r="AP78" s="164"/>
      <c r="AQ78" s="164"/>
      <c r="AT78" s="214"/>
      <c r="AU78" s="214"/>
    </row>
    <row r="79" spans="1:47" s="152" customFormat="1" ht="6" customHeight="1" x14ac:dyDescent="0.35">
      <c r="D79" s="215"/>
      <c r="E79" s="313"/>
      <c r="F79" s="213"/>
      <c r="G79" s="313"/>
      <c r="I79" s="153"/>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T79" s="214"/>
      <c r="AU79" s="214"/>
    </row>
    <row r="80" spans="1:47" s="152" customFormat="1" ht="15" customHeight="1" x14ac:dyDescent="0.35">
      <c r="A80" s="151">
        <f>MAX($A$7:A79)+1</f>
        <v>36</v>
      </c>
      <c r="D80" s="215" t="s">
        <v>67</v>
      </c>
      <c r="E80" s="313" t="s">
        <v>259</v>
      </c>
      <c r="F80" s="213" t="str">
        <f t="shared" si="9"/>
        <v>[36]</v>
      </c>
      <c r="G80" s="313" t="str">
        <f>$F$70&amp;" - "&amp;$F$72&amp;" - "&amp;$F$78</f>
        <v>[30] - [31] - [35]</v>
      </c>
      <c r="I80" s="153">
        <f t="shared" ref="I80:AG80" ca="1" si="14">I$70-I$72-I$78</f>
        <v>252985989.09464273</v>
      </c>
      <c r="J80" s="153">
        <f t="shared" ca="1" si="14"/>
        <v>265446754.53622317</v>
      </c>
      <c r="K80" s="153">
        <f t="shared" ca="1" si="14"/>
        <v>261832224.31139445</v>
      </c>
      <c r="L80" s="153">
        <f t="shared" ca="1" si="14"/>
        <v>258410595.48043737</v>
      </c>
      <c r="M80" s="153">
        <f t="shared" ca="1" si="14"/>
        <v>255154353.93957761</v>
      </c>
      <c r="N80" s="153">
        <f t="shared" ca="1" si="14"/>
        <v>252042920.30029452</v>
      </c>
      <c r="O80" s="153">
        <f t="shared" ca="1" si="14"/>
        <v>249082769.16501585</v>
      </c>
      <c r="P80" s="153">
        <f t="shared" ca="1" si="14"/>
        <v>246236621.54209793</v>
      </c>
      <c r="Q80" s="153">
        <f t="shared" ca="1" si="14"/>
        <v>245219993.10754371</v>
      </c>
      <c r="R80" s="153">
        <f t="shared" ca="1" si="14"/>
        <v>244255708.58630079</v>
      </c>
      <c r="S80" s="153">
        <f t="shared" ca="1" si="14"/>
        <v>243247625.78276551</v>
      </c>
      <c r="T80" s="153">
        <f t="shared" ca="1" si="14"/>
        <v>242202396.96302444</v>
      </c>
      <c r="U80" s="153">
        <f t="shared" ca="1" si="14"/>
        <v>241126650.10719588</v>
      </c>
      <c r="V80" s="153">
        <f t="shared" ca="1" si="14"/>
        <v>240004533.01182732</v>
      </c>
      <c r="W80" s="153">
        <f t="shared" ca="1" si="14"/>
        <v>238837261.77404198</v>
      </c>
      <c r="X80" s="153">
        <f t="shared" ca="1" si="14"/>
        <v>237644242.98587948</v>
      </c>
      <c r="Y80" s="153">
        <f t="shared" ca="1" si="14"/>
        <v>236396926.73679006</v>
      </c>
      <c r="Z80" s="153">
        <f t="shared" ca="1" si="14"/>
        <v>235117610.150846</v>
      </c>
      <c r="AA80" s="153">
        <f t="shared" ca="1" si="14"/>
        <v>233787304.27215987</v>
      </c>
      <c r="AB80" s="153">
        <f t="shared" ca="1" si="14"/>
        <v>232417010.84672692</v>
      </c>
      <c r="AC80" s="153">
        <f t="shared" ca="1" si="14"/>
        <v>8962122.2144962195</v>
      </c>
      <c r="AD80" s="153">
        <f t="shared" ca="1" si="14"/>
        <v>0</v>
      </c>
      <c r="AE80" s="153">
        <f t="shared" ca="1" si="14"/>
        <v>0</v>
      </c>
      <c r="AF80" s="153">
        <f t="shared" ca="1" si="14"/>
        <v>0</v>
      </c>
      <c r="AG80" s="153">
        <f t="shared" ca="1" si="14"/>
        <v>0</v>
      </c>
      <c r="AH80" s="153"/>
      <c r="AI80" s="153"/>
      <c r="AJ80" s="153"/>
      <c r="AK80" s="153"/>
      <c r="AL80" s="153"/>
      <c r="AM80" s="153"/>
      <c r="AN80" s="153"/>
      <c r="AO80" s="153"/>
      <c r="AP80" s="153"/>
      <c r="AQ80" s="153"/>
      <c r="AT80" s="214"/>
      <c r="AU80" s="214"/>
    </row>
    <row r="81" spans="1:47" s="152" customFormat="1" ht="6" customHeight="1" x14ac:dyDescent="0.35">
      <c r="D81" s="159"/>
      <c r="E81" s="159"/>
      <c r="F81" s="221"/>
      <c r="G81" s="155"/>
      <c r="H81" s="155"/>
      <c r="I81" s="159"/>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204"/>
      <c r="AI81" s="204"/>
      <c r="AJ81" s="204"/>
      <c r="AK81" s="204"/>
      <c r="AL81" s="204"/>
      <c r="AM81" s="204"/>
      <c r="AN81" s="204"/>
      <c r="AO81" s="204"/>
      <c r="AP81" s="204"/>
      <c r="AQ81" s="204"/>
      <c r="AT81" s="214"/>
      <c r="AU81" s="214"/>
    </row>
    <row r="82" spans="1:47" s="152" customFormat="1" ht="6" customHeight="1" x14ac:dyDescent="0.35">
      <c r="D82" s="151"/>
      <c r="E82" s="313"/>
      <c r="F82" s="213"/>
      <c r="I82" s="151"/>
      <c r="AT82" s="214"/>
      <c r="AU82" s="214"/>
    </row>
    <row r="83" spans="1:47" s="152" customFormat="1" ht="15" customHeight="1" x14ac:dyDescent="0.35">
      <c r="D83" s="162" t="s">
        <v>68</v>
      </c>
      <c r="E83" s="313"/>
      <c r="I83" s="153"/>
      <c r="J83" s="153"/>
      <c r="K83" s="153"/>
      <c r="L83" s="153"/>
      <c r="M83" s="153"/>
      <c r="N83" s="153"/>
      <c r="O83" s="153"/>
      <c r="P83" s="153"/>
      <c r="Q83" s="153"/>
      <c r="R83" s="153"/>
      <c r="S83" s="153"/>
      <c r="T83" s="153"/>
      <c r="U83" s="153"/>
      <c r="V83" s="153"/>
      <c r="W83" s="153"/>
      <c r="X83" s="153"/>
      <c r="Y83" s="153"/>
      <c r="Z83" s="153"/>
      <c r="AA83" s="153"/>
      <c r="AB83" s="153"/>
      <c r="AT83" s="214"/>
      <c r="AU83" s="214"/>
    </row>
    <row r="84" spans="1:47" s="152" customFormat="1" ht="15" customHeight="1" x14ac:dyDescent="0.35">
      <c r="A84" s="151">
        <f>MAX($A$7:A83)+1</f>
        <v>37</v>
      </c>
      <c r="D84" s="216" t="s">
        <v>69</v>
      </c>
      <c r="E84" s="313" t="s">
        <v>259</v>
      </c>
      <c r="F84" s="213" t="str">
        <f>"["&amp;A84&amp;"]"</f>
        <v>[37]</v>
      </c>
      <c r="G84" s="152" t="s">
        <v>39</v>
      </c>
      <c r="H84" s="153">
        <f ca="1">NPV($I$26, $I$80:$AG$80)*(1+$I$26)^0.5</f>
        <v>2304255091.2588</v>
      </c>
      <c r="I84" s="153"/>
      <c r="J84" s="156"/>
      <c r="AB84" s="2054"/>
      <c r="AT84" s="214"/>
      <c r="AU84" s="214"/>
    </row>
    <row r="85" spans="1:47" s="152" customFormat="1" ht="15" customHeight="1" x14ac:dyDescent="0.35">
      <c r="A85" s="151">
        <f>MAX($A$7:A84)+1</f>
        <v>38</v>
      </c>
      <c r="D85" s="215" t="s">
        <v>7</v>
      </c>
      <c r="E85" s="313" t="s">
        <v>259</v>
      </c>
      <c r="F85" s="213" t="str">
        <f>"["&amp;A85&amp;"]"</f>
        <v>[38]</v>
      </c>
      <c r="G85" s="152" t="s">
        <v>39</v>
      </c>
      <c r="H85" s="153">
        <f>-($I$13*$I$21*1000)</f>
        <v>-2304255091.2588</v>
      </c>
      <c r="I85" s="153"/>
      <c r="AT85" s="214"/>
      <c r="AU85" s="214"/>
    </row>
    <row r="86" spans="1:47" ht="15" customHeight="1" x14ac:dyDescent="0.35">
      <c r="A86" s="26">
        <f>MAX($A$7:A85)+1</f>
        <v>39</v>
      </c>
      <c r="D86" s="187" t="s">
        <v>70</v>
      </c>
      <c r="F86" s="17" t="str">
        <f>"["&amp;A86&amp;"]"</f>
        <v>[39]</v>
      </c>
      <c r="G86" s="5" t="s">
        <v>39</v>
      </c>
      <c r="H86" s="22" t="b">
        <f ca="1">IFERROR(ABS((H84+H85)/H85)&lt;0.001, FALSE)</f>
        <v>1</v>
      </c>
      <c r="I86" s="153"/>
      <c r="J86" s="1295"/>
    </row>
    <row r="87" spans="1:47" ht="6" customHeight="1" thickBot="1" x14ac:dyDescent="0.4">
      <c r="D87" s="20"/>
      <c r="E87" s="20"/>
      <c r="F87" s="24"/>
      <c r="G87" s="20"/>
      <c r="H87" s="20"/>
      <c r="I87" s="44"/>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3"/>
      <c r="AI87" s="203"/>
      <c r="AJ87" s="203"/>
      <c r="AK87" s="203"/>
      <c r="AL87" s="203"/>
      <c r="AM87" s="203"/>
      <c r="AN87" s="203"/>
      <c r="AO87" s="203"/>
      <c r="AP87" s="203"/>
      <c r="AQ87" s="203"/>
    </row>
    <row r="88" spans="1:47" ht="6" customHeight="1" thickTop="1" x14ac:dyDescent="0.35">
      <c r="F88" s="17"/>
    </row>
    <row r="89" spans="1:47" ht="15" customHeight="1" x14ac:dyDescent="0.35">
      <c r="D89" s="5" t="s">
        <v>26</v>
      </c>
      <c r="I89" s="153"/>
      <c r="J89" s="153"/>
      <c r="K89" s="153"/>
      <c r="L89" s="153"/>
      <c r="M89" s="153"/>
      <c r="N89" s="153"/>
      <c r="O89" s="153"/>
      <c r="P89" s="153"/>
      <c r="Q89" s="153"/>
      <c r="R89" s="153"/>
      <c r="S89" s="153"/>
      <c r="T89" s="153"/>
      <c r="U89" s="153"/>
      <c r="V89" s="153"/>
      <c r="W89" s="153"/>
      <c r="X89" s="153"/>
      <c r="Y89" s="153"/>
      <c r="Z89" s="153"/>
      <c r="AA89" s="153"/>
      <c r="AB89" s="153"/>
    </row>
    <row r="90" spans="1:47" s="1115" customFormat="1" ht="15" customHeight="1" x14ac:dyDescent="0.35">
      <c r="D90" s="404" t="s">
        <v>679</v>
      </c>
      <c r="AT90" s="36"/>
      <c r="AU90" s="36"/>
    </row>
    <row r="91" spans="1:47" ht="15" customHeight="1" x14ac:dyDescent="0.35">
      <c r="D91" s="93" t="str">
        <f>$F20&amp;": "&amp;$F$16&amp;" / ("&amp;$F$13&amp;" x 1000)."</f>
        <v>[9]: [6] / ([4] x 1000).</v>
      </c>
      <c r="I91" s="153"/>
      <c r="J91" s="153"/>
      <c r="K91" s="153"/>
      <c r="L91" s="153"/>
      <c r="M91" s="153"/>
      <c r="N91" s="153"/>
      <c r="O91" s="153"/>
      <c r="P91" s="153"/>
      <c r="Q91" s="153"/>
      <c r="R91" s="153"/>
      <c r="S91" s="153"/>
      <c r="T91" s="153"/>
      <c r="U91" s="153"/>
      <c r="V91" s="153"/>
      <c r="W91" s="153"/>
      <c r="X91" s="153"/>
      <c r="Y91" s="153"/>
      <c r="Z91" s="153"/>
      <c r="AA91" s="153"/>
      <c r="AB91" s="153"/>
    </row>
    <row r="92" spans="1:47" ht="15" customHeight="1" x14ac:dyDescent="0.35">
      <c r="D92" s="93" t="str">
        <f>$F21&amp;": "&amp;$F$17&amp;" / ("&amp;$F$13&amp;" x 1000)."</f>
        <v>[10]: [7] / ([4] x 1000).</v>
      </c>
      <c r="I92" s="153"/>
    </row>
    <row r="93" spans="1:47" ht="15" customHeight="1" x14ac:dyDescent="0.35">
      <c r="D93" s="93" t="str">
        <f>$F22&amp;": "&amp;$F$18&amp;" / ("&amp;$F$13&amp;" x 1000)."</f>
        <v>[11]: [8] / ([4] x 1000).</v>
      </c>
    </row>
    <row r="94" spans="1:47" ht="15" customHeight="1" x14ac:dyDescent="0.35">
      <c r="D94" s="93" t="str">
        <f>$F34&amp;": If technology is "&amp;Control!$K$10&amp;": equals total BESS EPC Costs. If technology is "&amp;Control!$I$10&amp;" or "&amp;Control!$J$10&amp;": set to 0."</f>
        <v>[19]: If technology is BESS: equals total BESS EPC Costs. If technology is CT or CC: set to 0.</v>
      </c>
    </row>
    <row r="95" spans="1:47" ht="15" customHeight="1" x14ac:dyDescent="0.35">
      <c r="D95" s="93" t="str">
        <f>$F35&amp;": If technology is "&amp;Control!$K$10&amp;": "&amp;$F$30&amp;" x "&amp;$F$34&amp;". If technology is "&amp;Control!$I$10&amp;" or "&amp;Control!$J$10&amp;": set to 0."</f>
        <v>[20]: If technology is BESS: [17] x [19]. If technology is CT or CC: set to 0.</v>
      </c>
    </row>
    <row r="96" spans="1:47" ht="15" customHeight="1" x14ac:dyDescent="0.35">
      <c r="D96" s="93" t="str">
        <f>$F36&amp;": If technology is "&amp;Control!$K$10&amp;": "&amp;$F$31&amp;" x "&amp;$F$35&amp;". If technology is "&amp;Control!$I$10&amp;" or "&amp;Control!$J$10&amp;": set to 0."</f>
        <v>[21]: If technology is BESS: [18] x [20]. If technology is CT or CC: set to 0.</v>
      </c>
    </row>
    <row r="97" spans="4:4" ht="15" customHeight="1" x14ac:dyDescent="0.35">
      <c r="D97" s="93" t="str">
        <f>$F43&amp;": If technology is "&amp;Control!$K$10&amp;": "&amp;$F$18&amp;" - "&amp;$F$36&amp;". If technology is "&amp;Control!$I$10&amp;" or "&amp;Control!$J$10&amp;", this cell equals "&amp;$F$18&amp;"."</f>
        <v>[25]: If technology is BESS: [8] - [21]. If technology is CT or CC, this cell equals [8].</v>
      </c>
    </row>
    <row r="98" spans="4:4" ht="15" customHeight="1" x14ac:dyDescent="0.35">
      <c r="D98" s="93" t="str">
        <f>$F45&amp;": In "&amp;YEAR($I$8)&amp;": (("&amp;$F$29&amp;" x "&amp;$F$43&amp;") + ((1 - "&amp;$F$29&amp;") x "&amp;$F$43&amp;" x "&amp;$F$44&amp;"). After "&amp;YEAR($I$8)&amp;": ((1 - "&amp;$F$29&amp;") x "&amp;$F$43&amp;" x "&amp;$F$44&amp;"). If economic life is not a whole number, then depreciation is prorated based on the length of the final period."</f>
        <v>[27]: In 2028: (([16] x [25]) + ((1 - [16]) x [25] x [26]). After 2028: ((1 - [16]) x [25] x [26]). If economic life is not a whole number, then depreciation is prorated based on the length of the final period.</v>
      </c>
    </row>
    <row r="99" spans="4:4" ht="6" customHeight="1" x14ac:dyDescent="0.35">
      <c r="D99" s="93"/>
    </row>
    <row r="100" spans="4:4" ht="15" customHeight="1" x14ac:dyDescent="0.35">
      <c r="D100" s="2143" t="s">
        <v>242</v>
      </c>
    </row>
    <row r="101" spans="4:4" ht="15" customHeight="1" x14ac:dyDescent="0.35">
      <c r="D101" s="2144" t="str">
        <f>$E$52&amp;" ("&amp;$E$53&amp;") of "&amp;RIGHT($D$55,LEN($D$55)-4)&amp;": ("&amp;$F$13&amp;" x "&amp;$F$21&amp;") / 1000."</f>
        <v>Present 
Value (EOY 0) of Investment Costs: ([4] x [10]) / 1000.</v>
      </c>
    </row>
    <row r="102" spans="4:4" ht="15" customHeight="1" x14ac:dyDescent="0.35">
      <c r="D102" s="2144" t="str">
        <f>$E$52&amp;" ("&amp;$E$53&amp;") of "&amp;RIGHT($D$56,LEN($D$56)-4)&amp;": ((1 - "&amp;$F$27&amp;") x NPV("&amp;$F$26&amp;", "&amp;$F$42&amp;") x (1 + "&amp;$F$26&amp;")^0.5) / 1000000."</f>
        <v>Present 
Value (EOY 0) of Operating Costs: ((1 - [14]) x NPV([13], [24]) x (1 + [13])^0.5) / 1000000.</v>
      </c>
    </row>
    <row r="103" spans="4:4" ht="15" customHeight="1" x14ac:dyDescent="0.35">
      <c r="D103" s="2144" t="str">
        <f>$E$52&amp;" ("&amp;$E$53&amp;") of "&amp;RIGHT($D$57,LEN($D$57)-4)&amp;": -((NPV("&amp;$F$26&amp;", "&amp;$F$77&amp;") x (1 + "&amp;$F$26&amp;")^0.5) / 1000000."</f>
        <v>Present 
Value (EOY 0) of Tax Credit: -((NPV([13], [34]) x (1 + [13])^0.5) / 1000000.</v>
      </c>
    </row>
    <row r="104" spans="4:4" ht="15" customHeight="1" x14ac:dyDescent="0.35">
      <c r="D104" s="2144" t="str">
        <f>$E$52&amp;" ("&amp;$E$53&amp;") of "&amp;RIGHT($D$58,LEN($D$58)-4)&amp;": -"&amp;$F$27&amp;" x NPV("&amp;$F$26&amp;", "&amp;$F$45&amp;") x (1 + "&amp;$F$26&amp;")^0.5 / 1000000."</f>
        <v>Present 
Value (EOY 0) of Depreciation Tax Shield: -[14] x NPV([13], [27]) x (1 + [13])^0.5 / 1000000.</v>
      </c>
    </row>
    <row r="105" spans="4:4" ht="6" customHeight="1" x14ac:dyDescent="0.35">
      <c r="D105" s="2144"/>
    </row>
    <row r="106" spans="4:4" ht="15" customHeight="1" x14ac:dyDescent="0.35">
      <c r="D106" s="2144" t="str">
        <f>$F$52&amp;" ("&amp;$F$53&amp;") of "&amp;RIGHT($D$55,LEN($D$55)-4)&amp;": (-PMT(ATWACC Adjusted by Revenue Escalation Rate, "&amp;$F$14&amp;", Present Value (EOY 0) of Investment Costs, 0, 1) x (1 + "&amp;$F$26&amp;")^0.5) / (1 - "&amp;$F$27&amp;")."</f>
        <v>First Year 
Revenue Req. (MOY 1) of Investment Costs: (-PMT(ATWACC Adjusted by Revenue Escalation Rate, [5], Present Value (EOY 0) of Investment Costs, 0, 1) x (1 + [13])^0.5) / (1 - [14]).</v>
      </c>
    </row>
    <row r="107" spans="4:4" ht="15" customHeight="1" x14ac:dyDescent="0.35">
      <c r="D107" s="2144" t="str">
        <f>$F$52&amp;" ("&amp;$F$53&amp;") of "&amp;RIGHT($D$56,LEN($D$56)-4)&amp;": (-PMT(ATWACC Adjusted by Revenue Escalation Rate, "&amp;$F$14&amp;", Present Value (EOY 0) of Operating Costs, 0, 1) x (1 + "&amp;$F$26&amp;")^0.5) / (1 - "&amp;$F$27&amp;")."</f>
        <v>First Year 
Revenue Req. (MOY 1) of Operating Costs: (-PMT(ATWACC Adjusted by Revenue Escalation Rate, [5], Present Value (EOY 0) of Operating Costs, 0, 1) x (1 + [13])^0.5) / (1 - [14]).</v>
      </c>
    </row>
    <row r="108" spans="4:4" ht="15" customHeight="1" x14ac:dyDescent="0.35">
      <c r="D108" s="2144" t="str">
        <f>$F$52&amp;" ("&amp;$F$53&amp;") of "&amp;RIGHT($D$57,LEN($D$57)-4)&amp;": (-PMT(ATWACC Adjusted by Revenue Escalation Rate, "&amp;$F$14&amp;", Present Value (EOY 0) of Tax Credit, 0, 1) x (1 + "&amp;$F$26&amp;")^0.5) / (1 - "&amp;$F$27&amp;")."</f>
        <v>First Year 
Revenue Req. (MOY 1) of Tax Credit: (-PMT(ATWACC Adjusted by Revenue Escalation Rate, [5], Present Value (EOY 0) of Tax Credit, 0, 1) x (1 + [13])^0.5) / (1 - [14]).</v>
      </c>
    </row>
    <row r="109" spans="4:4" ht="15" customHeight="1" x14ac:dyDescent="0.35">
      <c r="D109" s="2144" t="str">
        <f>$F$52&amp;" ("&amp;$F$53&amp;") of "&amp;RIGHT($D$58,LEN($D$58)-4)&amp;": (-PMT(ATWACC Adjusted by Revenue Escalation Rate, "&amp;$F$14&amp;", Present Value (EOY 0) of Depreciation Costs, 0, 1) x (1 + "&amp;$F$26&amp;")^0.5) / (1 - "&amp;$F$27&amp;")."</f>
        <v>First Year 
Revenue Req. (MOY 1) of Depreciation Tax Shield: (-PMT(ATWACC Adjusted by Revenue Escalation Rate, [5], Present Value (EOY 0) of Depreciation Costs, 0, 1) x (1 + [13])^0.5) / (1 - [14]).</v>
      </c>
    </row>
    <row r="110" spans="4:4" ht="15" customHeight="1" x14ac:dyDescent="0.35">
      <c r="D110" s="2144" t="str">
        <f>$G$52&amp;" ("&amp;$G$53&amp;") of "&amp;RIGHT($D$55,LEN($D$55)-4)&amp;" "&amp;$G$54&amp;": (1000 x "&amp;$G$52&amp;" ("&amp;$G$53&amp;") of "&amp;RIGHT($D$55,LEN($D$55)-4)&amp;") / Plant Capacity."</f>
        <v>First Year 
Revenue Req. (MOY 1) of Investment Costs (2028$/kW-yr): (1000 x First Year 
Revenue Req. (MOY 1) of Investment Costs) / Plant Capacity.</v>
      </c>
    </row>
    <row r="111" spans="4:4" ht="15" customHeight="1" x14ac:dyDescent="0.35">
      <c r="D111" s="2144" t="str">
        <f>$G$52&amp;" ("&amp;$G$53&amp;") of "&amp;RIGHT($D$56,LEN($D$56)-4)&amp;" "&amp;$G$54&amp;": (1000 x "&amp;$G$52&amp;" ("&amp;$G$53&amp;") of "&amp;RIGHT($D$56,LEN($D$56)-4)&amp;") / Plant Capacity."</f>
        <v>First Year 
Revenue Req. (MOY 1) of Operating Costs (2028$/kW-yr): (1000 x First Year 
Revenue Req. (MOY 1) of Operating Costs) / Plant Capacity.</v>
      </c>
    </row>
    <row r="112" spans="4:4" ht="15" customHeight="1" x14ac:dyDescent="0.35">
      <c r="D112" s="2144" t="str">
        <f>$G$52&amp;" ("&amp;$G$53&amp;") of "&amp;RIGHT($D$57,LEN($D$57)-4)&amp;" "&amp;$G$54&amp;": (1000 x "&amp;$G$52&amp;" ("&amp;$G$53&amp;") of "&amp;RIGHT($D$57,LEN($D$57)-4)&amp;") / Plant Capacity."</f>
        <v>First Year 
Revenue Req. (MOY 1) of Tax Credit (2028$/kW-yr): (1000 x First Year 
Revenue Req. (MOY 1) of Tax Credit) / Plant Capacity.</v>
      </c>
    </row>
    <row r="113" spans="3:43" ht="15" customHeight="1" x14ac:dyDescent="0.35">
      <c r="D113" s="2144" t="str">
        <f>$G$52&amp;" ("&amp;$G$53&amp;") of "&amp;RIGHT($D$58,LEN($D$58)-4)&amp;" "&amp;$G$54&amp;": (1000 x "&amp;$G$52&amp;" ("&amp;$G$53&amp;") of "&amp;RIGHT($D$58,LEN($D$58)-4)&amp;") / Plant Capacity."</f>
        <v>First Year 
Revenue Req. (MOY 1) of Depreciation Tax Shield (2028$/kW-yr): (1000 x First Year 
Revenue Req. (MOY 1) of Depreciation Tax Shield) / Plant Capacity.</v>
      </c>
    </row>
    <row r="114" spans="3:43" ht="15" customHeight="1" x14ac:dyDescent="0.35">
      <c r="D114" s="2144" t="str">
        <f>"Total = "&amp;RIGHT($D$55, LEN($D$55)-4)&amp;" + "&amp;RIGHT($D$56, LEN($D$56)-4)&amp;" + "&amp;RIGHT($D$57, LEN($D$57)-4)&amp;" + "&amp;RIGHT($D$58, LEN($D$58)-4)&amp;"."</f>
        <v>Total = Investment Costs + Operating Costs + Tax Credit + Depreciation Tax Shield.</v>
      </c>
    </row>
    <row r="115" spans="3:43" ht="6" customHeight="1" x14ac:dyDescent="0.35">
      <c r="D115" s="93"/>
    </row>
    <row r="116" spans="3:43" ht="15" customHeight="1" x14ac:dyDescent="0.35">
      <c r="D116" s="93" t="str">
        <f>$F69&amp;": If year &lt;= "&amp;$F$14&amp;": "&amp;$G$52&amp;" "&amp;$G$54&amp;" Total x (1 + "&amp;$F$25&amp;") ^ ("&amp;$F$41&amp;" - 1). If year &gt; "&amp;$F$14&amp;": 0. If economic life is not a whole number, then the revenue requirement is prorated based on the length of the final period."</f>
        <v>[29]: If year &lt;= [5]: First Year 
Revenue Req. (2028$/kW-yr) Total x (1 + [12]) ^ ([23] - 1). If year &gt; [5]: 0. If economic life is not a whole number, then the revenue requirement is prorated based on the length of the final period.</v>
      </c>
    </row>
    <row r="117" spans="3:43" ht="15" customHeight="1" x14ac:dyDescent="0.35">
      <c r="D117" s="93" t="str">
        <f>$F70&amp;": "&amp;$F$13&amp;" x "&amp;$F$69&amp;" x 1000."</f>
        <v>[30]: [4] x [29] x 1000.</v>
      </c>
    </row>
    <row r="118" spans="3:43" ht="15" customHeight="1" x14ac:dyDescent="0.35">
      <c r="D118" s="93" t="str">
        <f>$F75&amp;": "&amp;$F$27&amp;" x ("&amp;F70&amp;" - "&amp;F72&amp;" - "&amp;F74&amp;")."</f>
        <v>[33]: [14] x ([30] - [31] - [32]).</v>
      </c>
    </row>
    <row r="119" spans="3:43" ht="15" customHeight="1" x14ac:dyDescent="0.35">
      <c r="D119" s="93" t="str">
        <f>$F77&amp;": If technology is "&amp;Control!$K$10&amp;": "&amp;$F$35&amp;" in year 1 and 0 in subsequent years. If technology is "&amp;Control!$I$10&amp;" or "&amp;Control!$J$10&amp;": set to 0 in all years."</f>
        <v>[34]: If technology is BESS: [20] in year 1 and 0 in subsequent years. If technology is CT or CC: set to 0 in all years.</v>
      </c>
    </row>
    <row r="120" spans="3:43" ht="15" customHeight="1" x14ac:dyDescent="0.35">
      <c r="D120" s="93" t="str">
        <f>$F84&amp;": NPV("&amp;$F$80&amp;" at "&amp;$F$26&amp;") x (1 + "&amp;$F$26&amp;")^0.5."</f>
        <v>[37]: NPV([36] at [13]) x (1 + [13])^0.5.</v>
      </c>
    </row>
    <row r="121" spans="3:43" ht="15" customHeight="1" x14ac:dyDescent="0.35">
      <c r="D121" s="93" t="str">
        <f>$F85&amp;": -("&amp;$F$13&amp;" x "&amp;$F$21&amp;" x 1000)."</f>
        <v>[38]: -([4] x [10] x 1000).</v>
      </c>
    </row>
    <row r="122" spans="3:43" ht="15" customHeight="1" x14ac:dyDescent="0.35">
      <c r="D122" s="93" t="str">
        <f>$F86&amp;": Checks if "&amp;$F$84&amp;" is within 0.1% of "&amp;$F$85&amp;"."</f>
        <v>[39]: Checks if [37] is within 0.1% of [38].</v>
      </c>
    </row>
    <row r="125" spans="3:43" s="50" customFormat="1" ht="15" customHeight="1" outlineLevel="1" x14ac:dyDescent="0.35">
      <c r="D125" s="50" t="s">
        <v>179</v>
      </c>
      <c r="I125" s="135"/>
    </row>
    <row r="126" spans="3:43" s="36" customFormat="1" ht="6" customHeight="1" outlineLevel="1" thickBot="1" x14ac:dyDescent="0.4">
      <c r="C126" s="52"/>
      <c r="D126" s="51"/>
      <c r="E126" s="51"/>
      <c r="F126" s="51"/>
      <c r="G126" s="51"/>
      <c r="H126" s="51"/>
      <c r="I126" s="136"/>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2"/>
      <c r="AI126" s="52"/>
      <c r="AJ126" s="52"/>
      <c r="AK126" s="52"/>
      <c r="AL126" s="52"/>
      <c r="AM126" s="52"/>
      <c r="AN126" s="52"/>
      <c r="AO126" s="52"/>
      <c r="AP126" s="52"/>
      <c r="AQ126" s="52"/>
    </row>
    <row r="127" spans="3:43" s="36" customFormat="1" ht="6" customHeight="1" outlineLevel="1" thickTop="1" x14ac:dyDescent="0.35">
      <c r="C127" s="52"/>
      <c r="I127" s="94"/>
    </row>
    <row r="128" spans="3:43" s="36" customFormat="1" ht="15" customHeight="1" outlineLevel="1" x14ac:dyDescent="0.35">
      <c r="C128" s="53"/>
      <c r="D128" s="41" t="s">
        <v>40</v>
      </c>
      <c r="I128" s="94"/>
    </row>
    <row r="129" spans="1:43" s="36" customFormat="1" ht="15" customHeight="1" outlineLevel="1" x14ac:dyDescent="0.35">
      <c r="A129" s="36">
        <f>A86+1</f>
        <v>40</v>
      </c>
      <c r="D129" s="36" t="s">
        <v>15</v>
      </c>
      <c r="E129" s="36" t="str">
        <f>"%"</f>
        <v>%</v>
      </c>
      <c r="F129" s="54" t="str">
        <f>"["&amp;A129&amp;"]"</f>
        <v>[40]</v>
      </c>
      <c r="G129" s="36" t="str">
        <f>Control!$D$3</f>
        <v>Control Table</v>
      </c>
      <c r="H129" s="55"/>
      <c r="I129" s="84">
        <f>INDEX(Control!$H:$H, MATCH($D129, Control!$D:$D, 0))</f>
        <v>5.8000000000000003E-2</v>
      </c>
    </row>
    <row r="130" spans="1:43" s="36" customFormat="1" ht="15" customHeight="1" outlineLevel="1" x14ac:dyDescent="0.35">
      <c r="A130" s="36">
        <f>A129+1</f>
        <v>41</v>
      </c>
      <c r="D130" s="36" t="s">
        <v>9</v>
      </c>
      <c r="E130" s="36" t="str">
        <f>"%"</f>
        <v>%</v>
      </c>
      <c r="F130" s="54" t="str">
        <f>"["&amp;A130&amp;"]"</f>
        <v>[41]</v>
      </c>
      <c r="G130" s="36" t="str">
        <f>Control!$D$3</f>
        <v>Control Table</v>
      </c>
      <c r="H130" s="55"/>
      <c r="I130" s="84">
        <f>INDEX(Control!$H:$H, MATCH($D130, Control!$D:$D, 0))</f>
        <v>0.55000000000000004</v>
      </c>
    </row>
    <row r="131" spans="1:43" s="36" customFormat="1" ht="15" customHeight="1" outlineLevel="1" x14ac:dyDescent="0.35">
      <c r="A131" s="36">
        <f>A130+1</f>
        <v>42</v>
      </c>
      <c r="D131" s="36" t="s">
        <v>14</v>
      </c>
      <c r="E131" s="36" t="str">
        <f>"%"</f>
        <v>%</v>
      </c>
      <c r="F131" s="54" t="str">
        <f>"["&amp;A131&amp;"]"</f>
        <v>[42]</v>
      </c>
      <c r="G131" s="36" t="str">
        <f>Control!$D$3</f>
        <v>Control Table</v>
      </c>
      <c r="H131" s="55"/>
      <c r="I131" s="84">
        <f>INDEX(Control!$H:$H, MATCH($D131, Control!$D:$D, 0))</f>
        <v>0.16</v>
      </c>
    </row>
    <row r="132" spans="1:43" s="36" customFormat="1" ht="6" customHeight="1" outlineLevel="1" x14ac:dyDescent="0.35">
      <c r="F132" s="54"/>
      <c r="H132" s="55"/>
      <c r="I132" s="84"/>
    </row>
    <row r="133" spans="1:43" s="36" customFormat="1" ht="15" customHeight="1" outlineLevel="1" x14ac:dyDescent="0.35">
      <c r="C133" s="53"/>
      <c r="D133" s="41" t="s">
        <v>19</v>
      </c>
      <c r="I133" s="94"/>
    </row>
    <row r="134" spans="1:43" s="36" customFormat="1" ht="15" customHeight="1" outlineLevel="1" x14ac:dyDescent="0.35">
      <c r="A134" s="36">
        <f>A131+1</f>
        <v>43</v>
      </c>
      <c r="D134" s="36" t="s">
        <v>180</v>
      </c>
      <c r="E134" s="36" t="s">
        <v>10</v>
      </c>
      <c r="F134" s="54" t="str">
        <f>"["&amp;A134&amp;"]"</f>
        <v>[43]</v>
      </c>
      <c r="G134" s="36" t="str">
        <f>"1 - "&amp;$F$130</f>
        <v>1 - [41]</v>
      </c>
      <c r="H134" s="55"/>
      <c r="I134" s="84">
        <f>1-I130</f>
        <v>0.44999999999999996</v>
      </c>
    </row>
    <row r="135" spans="1:43" s="36" customFormat="1" ht="6" customHeight="1" outlineLevel="1" x14ac:dyDescent="0.35">
      <c r="D135" s="56"/>
      <c r="E135" s="56"/>
      <c r="F135" s="57"/>
      <c r="G135" s="56"/>
      <c r="H135" s="56"/>
      <c r="I135" s="137"/>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2"/>
      <c r="AI135" s="52"/>
      <c r="AJ135" s="52"/>
      <c r="AK135" s="52"/>
      <c r="AL135" s="52"/>
      <c r="AM135" s="52"/>
      <c r="AN135" s="52"/>
      <c r="AO135" s="52"/>
      <c r="AP135" s="52"/>
      <c r="AQ135" s="52"/>
    </row>
    <row r="136" spans="1:43" s="36" customFormat="1" ht="6" customHeight="1" outlineLevel="1" x14ac:dyDescent="0.35">
      <c r="F136" s="54"/>
      <c r="I136" s="94"/>
    </row>
    <row r="137" spans="1:43" s="36" customFormat="1" ht="15" customHeight="1" outlineLevel="1" x14ac:dyDescent="0.35">
      <c r="D137" s="41" t="s">
        <v>187</v>
      </c>
      <c r="F137" s="54"/>
      <c r="I137" s="94"/>
    </row>
    <row r="138" spans="1:43" s="36" customFormat="1" ht="15" customHeight="1" outlineLevel="1" x14ac:dyDescent="0.35">
      <c r="A138" s="36">
        <f>A134+1</f>
        <v>44</v>
      </c>
      <c r="D138" s="36" t="s">
        <v>27</v>
      </c>
      <c r="F138" s="54" t="str">
        <f>"["&amp;A138&amp;"]"</f>
        <v>[44]</v>
      </c>
      <c r="G138" s="36" t="str">
        <f>$F$41</f>
        <v>[23]</v>
      </c>
      <c r="I138" s="94">
        <f>I$41</f>
        <v>1</v>
      </c>
      <c r="J138" s="94">
        <f t="shared" ref="J138:AG138" si="15">J$41</f>
        <v>2</v>
      </c>
      <c r="K138" s="94">
        <f t="shared" si="15"/>
        <v>3</v>
      </c>
      <c r="L138" s="94">
        <f t="shared" si="15"/>
        <v>4</v>
      </c>
      <c r="M138" s="94">
        <f t="shared" si="15"/>
        <v>5</v>
      </c>
      <c r="N138" s="94">
        <f t="shared" si="15"/>
        <v>6</v>
      </c>
      <c r="O138" s="94">
        <f t="shared" si="15"/>
        <v>7</v>
      </c>
      <c r="P138" s="94">
        <f t="shared" si="15"/>
        <v>8</v>
      </c>
      <c r="Q138" s="94">
        <f t="shared" si="15"/>
        <v>9</v>
      </c>
      <c r="R138" s="94">
        <f t="shared" si="15"/>
        <v>10</v>
      </c>
      <c r="S138" s="94">
        <f t="shared" si="15"/>
        <v>11</v>
      </c>
      <c r="T138" s="94">
        <f t="shared" si="15"/>
        <v>12</v>
      </c>
      <c r="U138" s="94">
        <f t="shared" si="15"/>
        <v>13</v>
      </c>
      <c r="V138" s="94">
        <f t="shared" si="15"/>
        <v>14</v>
      </c>
      <c r="W138" s="94">
        <f t="shared" si="15"/>
        <v>15</v>
      </c>
      <c r="X138" s="94">
        <f t="shared" si="15"/>
        <v>16</v>
      </c>
      <c r="Y138" s="94">
        <f t="shared" si="15"/>
        <v>17</v>
      </c>
      <c r="Z138" s="94">
        <f t="shared" si="15"/>
        <v>18</v>
      </c>
      <c r="AA138" s="94">
        <f t="shared" si="15"/>
        <v>19</v>
      </c>
      <c r="AB138" s="94">
        <f t="shared" si="15"/>
        <v>20</v>
      </c>
      <c r="AC138" s="94">
        <f t="shared" si="15"/>
        <v>21</v>
      </c>
      <c r="AD138" s="94">
        <f t="shared" si="15"/>
        <v>22</v>
      </c>
      <c r="AE138" s="94">
        <f t="shared" si="15"/>
        <v>23</v>
      </c>
      <c r="AF138" s="94">
        <f t="shared" si="15"/>
        <v>24</v>
      </c>
      <c r="AG138" s="94">
        <f t="shared" si="15"/>
        <v>25</v>
      </c>
    </row>
    <row r="139" spans="1:43" s="36" customFormat="1" ht="15" customHeight="1" outlineLevel="1" x14ac:dyDescent="0.35">
      <c r="A139" s="36">
        <f>A138+1</f>
        <v>45</v>
      </c>
      <c r="D139" s="36" t="s">
        <v>178</v>
      </c>
      <c r="E139" s="36" t="s">
        <v>259</v>
      </c>
      <c r="F139" s="54" t="str">
        <f t="shared" ref="F139:F157" si="16">"["&amp;A139&amp;"]"</f>
        <v>[45]</v>
      </c>
      <c r="G139" s="36" t="str">
        <f>F146</f>
        <v>[51]</v>
      </c>
      <c r="I139" s="126">
        <f t="shared" ref="I139:AG139" si="17">I$146</f>
        <v>36234868.260988638</v>
      </c>
      <c r="J139" s="59">
        <f t="shared" ca="1" si="17"/>
        <v>68823742.281961963</v>
      </c>
      <c r="K139" s="59">
        <f t="shared" ca="1" si="17"/>
        <v>66907146.658178531</v>
      </c>
      <c r="L139" s="59">
        <f t="shared" ca="1" si="17"/>
        <v>64923418.717432335</v>
      </c>
      <c r="M139" s="59">
        <f t="shared" ca="1" si="17"/>
        <v>62860014.751859188</v>
      </c>
      <c r="N139" s="59">
        <f t="shared" ca="1" si="17"/>
        <v>60704074.75006438</v>
      </c>
      <c r="O139" s="59">
        <f t="shared" ca="1" si="17"/>
        <v>58442171.071582653</v>
      </c>
      <c r="P139" s="59">
        <f t="shared" ca="1" si="17"/>
        <v>56059391.393408872</v>
      </c>
      <c r="Q139" s="59">
        <f t="shared" ca="1" si="17"/>
        <v>53540593.12651851</v>
      </c>
      <c r="R139" s="59">
        <f t="shared" ca="1" si="17"/>
        <v>50814467.347536817</v>
      </c>
      <c r="S139" s="59">
        <f t="shared" ca="1" si="17"/>
        <v>47859609.310490891</v>
      </c>
      <c r="T139" s="59">
        <f t="shared" ca="1" si="17"/>
        <v>44655643.742472418</v>
      </c>
      <c r="U139" s="59">
        <f t="shared" ca="1" si="17"/>
        <v>41180043.693215467</v>
      </c>
      <c r="V139" s="59">
        <f t="shared" ca="1" si="17"/>
        <v>37407926.497159243</v>
      </c>
      <c r="W139" s="59">
        <f t="shared" ca="1" si="17"/>
        <v>33312546.656795502</v>
      </c>
      <c r="X139" s="59">
        <f t="shared" ca="1" si="17"/>
        <v>28864574.04567574</v>
      </c>
      <c r="Y139" s="59">
        <f t="shared" ca="1" si="17"/>
        <v>24031267.607410956</v>
      </c>
      <c r="Z139" s="59">
        <f t="shared" ca="1" si="17"/>
        <v>18777680.49041485</v>
      </c>
      <c r="AA139" s="59">
        <f t="shared" ca="1" si="17"/>
        <v>13064828.063501161</v>
      </c>
      <c r="AB139" s="59">
        <f t="shared" ca="1" si="17"/>
        <v>6850620.5959305763</v>
      </c>
      <c r="AC139" s="59">
        <f t="shared" si="17"/>
        <v>0</v>
      </c>
      <c r="AD139" s="59">
        <f t="shared" si="17"/>
        <v>0</v>
      </c>
      <c r="AE139" s="59">
        <f t="shared" si="17"/>
        <v>0</v>
      </c>
      <c r="AF139" s="59">
        <f t="shared" si="17"/>
        <v>0</v>
      </c>
      <c r="AG139" s="59">
        <f t="shared" si="17"/>
        <v>0</v>
      </c>
      <c r="AH139" s="59"/>
      <c r="AI139" s="59"/>
      <c r="AJ139" s="59"/>
      <c r="AK139" s="59"/>
      <c r="AL139" s="59"/>
      <c r="AM139" s="59"/>
      <c r="AN139" s="59"/>
      <c r="AO139" s="59"/>
      <c r="AP139" s="59"/>
      <c r="AQ139" s="59"/>
    </row>
    <row r="140" spans="1:43" s="36" customFormat="1" ht="15" customHeight="1" outlineLevel="1" x14ac:dyDescent="0.35">
      <c r="A140" s="36">
        <f>A139+1</f>
        <v>46</v>
      </c>
      <c r="D140" s="36" t="s">
        <v>188</v>
      </c>
      <c r="E140" s="36" t="s">
        <v>259</v>
      </c>
      <c r="F140" s="54" t="str">
        <f t="shared" si="16"/>
        <v>[46]</v>
      </c>
      <c r="G140" s="58" t="s">
        <v>39</v>
      </c>
      <c r="I140" s="126">
        <f t="shared" ref="I140:AG140" ca="1" si="18">I$70-I$72-I$74-I$139</f>
        <v>185310808.83538818</v>
      </c>
      <c r="J140" s="59">
        <f t="shared" ca="1" si="18"/>
        <v>103485445.98988022</v>
      </c>
      <c r="K140" s="59">
        <f t="shared" ca="1" si="18"/>
        <v>114892507.30245054</v>
      </c>
      <c r="L140" s="59">
        <f t="shared" ca="1" si="18"/>
        <v>125552745.45109044</v>
      </c>
      <c r="M140" s="59">
        <f t="shared" ca="1" si="18"/>
        <v>135494818.68710127</v>
      </c>
      <c r="N140" s="59">
        <f t="shared" ca="1" si="18"/>
        <v>144838192.35641468</v>
      </c>
      <c r="O140" s="59">
        <f t="shared" ca="1" si="18"/>
        <v>153605201.50007793</v>
      </c>
      <c r="P140" s="59">
        <f t="shared" ca="1" si="18"/>
        <v>161867405.9193466</v>
      </c>
      <c r="Q140" s="59">
        <f t="shared" ca="1" si="18"/>
        <v>163392334.87359512</v>
      </c>
      <c r="R140" s="59">
        <f t="shared" ca="1" si="18"/>
        <v>164791851.24269849</v>
      </c>
      <c r="S140" s="59">
        <f t="shared" ca="1" si="18"/>
        <v>166359844.61102343</v>
      </c>
      <c r="T140" s="59">
        <f t="shared" ca="1" si="18"/>
        <v>168125842.07191393</v>
      </c>
      <c r="U140" s="59">
        <f t="shared" ca="1" si="18"/>
        <v>170121488.98477739</v>
      </c>
      <c r="V140" s="59">
        <f t="shared" ca="1" si="18"/>
        <v>172349859.42880395</v>
      </c>
      <c r="W140" s="59">
        <f t="shared" ca="1" si="18"/>
        <v>174866355.40501887</v>
      </c>
      <c r="X140" s="59">
        <f t="shared" ca="1" si="18"/>
        <v>177646055.16514254</v>
      </c>
      <c r="Y140" s="59">
        <f t="shared" ca="1" si="18"/>
        <v>180790356.23168421</v>
      </c>
      <c r="Z140" s="59">
        <f t="shared" ca="1" si="18"/>
        <v>184256946.75166652</v>
      </c>
      <c r="AA140" s="59">
        <f t="shared" ca="1" si="18"/>
        <v>188166621.25599697</v>
      </c>
      <c r="AB140" s="59">
        <f t="shared" ca="1" si="18"/>
        <v>192468671.21326712</v>
      </c>
      <c r="AC140" s="59">
        <f t="shared" ca="1" si="18"/>
        <v>-32813742.679970488</v>
      </c>
      <c r="AD140" s="59">
        <f t="shared" ca="1" si="18"/>
        <v>0</v>
      </c>
      <c r="AE140" s="59">
        <f t="shared" ca="1" si="18"/>
        <v>0</v>
      </c>
      <c r="AF140" s="59">
        <f t="shared" ca="1" si="18"/>
        <v>0</v>
      </c>
      <c r="AG140" s="59">
        <f t="shared" ca="1" si="18"/>
        <v>0</v>
      </c>
      <c r="AH140" s="59"/>
      <c r="AI140" s="59"/>
      <c r="AJ140" s="59"/>
      <c r="AK140" s="59"/>
      <c r="AL140" s="59"/>
      <c r="AM140" s="59"/>
      <c r="AN140" s="59"/>
      <c r="AO140" s="59"/>
      <c r="AP140" s="59"/>
      <c r="AQ140" s="59"/>
    </row>
    <row r="141" spans="1:43" s="36" customFormat="1" ht="15" customHeight="1" outlineLevel="1" x14ac:dyDescent="0.35">
      <c r="A141" s="36">
        <f>A140+1</f>
        <v>47</v>
      </c>
      <c r="D141" s="36" t="s">
        <v>181</v>
      </c>
      <c r="E141" s="36" t="s">
        <v>259</v>
      </c>
      <c r="F141" s="54" t="str">
        <f t="shared" si="16"/>
        <v>[47]</v>
      </c>
      <c r="G141" s="58" t="s">
        <v>39</v>
      </c>
      <c r="I141" s="126">
        <f t="shared" ref="I141:AG141" ca="1" si="19">$I$27*I$140-I$77</f>
        <v>50612273.419930056</v>
      </c>
      <c r="J141" s="126">
        <f t="shared" ca="1" si="19"/>
        <v>28264048.494202077</v>
      </c>
      <c r="K141" s="126">
        <f t="shared" ca="1" si="19"/>
        <v>31379556.486952595</v>
      </c>
      <c r="L141" s="126">
        <f t="shared" ca="1" si="19"/>
        <v>34291091.390347272</v>
      </c>
      <c r="M141" s="126">
        <f t="shared" ca="1" si="19"/>
        <v>37006480.374639787</v>
      </c>
      <c r="N141" s="126">
        <f t="shared" ca="1" si="19"/>
        <v>39558351.934576333</v>
      </c>
      <c r="O141" s="126">
        <f t="shared" ca="1" si="19"/>
        <v>41952806.238902785</v>
      </c>
      <c r="P141" s="126">
        <f t="shared" ca="1" si="19"/>
        <v>44209387.772097863</v>
      </c>
      <c r="Q141" s="126">
        <f t="shared" ca="1" si="19"/>
        <v>44625877.893011175</v>
      </c>
      <c r="R141" s="126">
        <f t="shared" ca="1" si="19"/>
        <v>45008115.203257054</v>
      </c>
      <c r="S141" s="126">
        <f t="shared" ca="1" si="19"/>
        <v>45436367.120007329</v>
      </c>
      <c r="T141" s="126">
        <f t="shared" ca="1" si="19"/>
        <v>45918698.112523206</v>
      </c>
      <c r="U141" s="126">
        <f t="shared" ca="1" si="19"/>
        <v>46463751.193011388</v>
      </c>
      <c r="V141" s="126">
        <f t="shared" ca="1" si="19"/>
        <v>47072365.957054362</v>
      </c>
      <c r="W141" s="126">
        <f t="shared" ca="1" si="19"/>
        <v>47759673.854574159</v>
      </c>
      <c r="X141" s="126">
        <f t="shared" ca="1" si="19"/>
        <v>48518868.232758895</v>
      </c>
      <c r="Y141" s="126">
        <f t="shared" ca="1" si="19"/>
        <v>49377642.884353824</v>
      </c>
      <c r="Z141" s="126">
        <f t="shared" ca="1" si="19"/>
        <v>50324441.553761914</v>
      </c>
      <c r="AA141" s="126">
        <f t="shared" ca="1" si="19"/>
        <v>51392255.764059149</v>
      </c>
      <c r="AB141" s="126">
        <f t="shared" ca="1" si="19"/>
        <v>52567235.95043873</v>
      </c>
      <c r="AC141" s="126">
        <f t="shared" ca="1" si="19"/>
        <v>-8962122.2144962195</v>
      </c>
      <c r="AD141" s="126">
        <f t="shared" ca="1" si="19"/>
        <v>0</v>
      </c>
      <c r="AE141" s="126">
        <f t="shared" ca="1" si="19"/>
        <v>0</v>
      </c>
      <c r="AF141" s="126">
        <f t="shared" ca="1" si="19"/>
        <v>0</v>
      </c>
      <c r="AG141" s="126">
        <f t="shared" ca="1" si="19"/>
        <v>0</v>
      </c>
      <c r="AH141" s="126"/>
      <c r="AI141" s="126"/>
      <c r="AJ141" s="126"/>
      <c r="AK141" s="126"/>
      <c r="AL141" s="126"/>
      <c r="AM141" s="126"/>
      <c r="AN141" s="126"/>
      <c r="AO141" s="126"/>
      <c r="AP141" s="126"/>
      <c r="AQ141" s="126"/>
    </row>
    <row r="142" spans="1:43" s="36" customFormat="1" ht="15" customHeight="1" outlineLevel="1" x14ac:dyDescent="0.35">
      <c r="A142" s="36">
        <f>A141+1</f>
        <v>48</v>
      </c>
      <c r="D142" s="36" t="s">
        <v>182</v>
      </c>
      <c r="E142" s="36" t="s">
        <v>259</v>
      </c>
      <c r="F142" s="54" t="str">
        <f t="shared" si="16"/>
        <v>[48]</v>
      </c>
      <c r="G142" s="36" t="str">
        <f>$F$153</f>
        <v>[57]</v>
      </c>
      <c r="I142" s="126">
        <f t="shared" ref="I142:AG142" si="20">I153</f>
        <v>79876617.103205457</v>
      </c>
      <c r="J142" s="59">
        <f t="shared" ca="1" si="20"/>
        <v>155338854.05333102</v>
      </c>
      <c r="K142" s="59">
        <f t="shared" ca="1" si="20"/>
        <v>151012995.59212705</v>
      </c>
      <c r="L142" s="59">
        <f t="shared" ca="1" si="20"/>
        <v>146535615.91395381</v>
      </c>
      <c r="M142" s="59">
        <f t="shared" ca="1" si="20"/>
        <v>141878403.20168838</v>
      </c>
      <c r="N142" s="59">
        <f t="shared" ca="1" si="20"/>
        <v>137012331.72428316</v>
      </c>
      <c r="O142" s="59">
        <f t="shared" ca="1" si="20"/>
        <v>131907094.5816285</v>
      </c>
      <c r="P142" s="59">
        <f t="shared" ca="1" si="20"/>
        <v>126529033.86600114</v>
      </c>
      <c r="Q142" s="59">
        <f t="shared" ca="1" si="20"/>
        <v>120843971.94700097</v>
      </c>
      <c r="R142" s="59">
        <f t="shared" ca="1" si="20"/>
        <v>114690960.78440905</v>
      </c>
      <c r="S142" s="59">
        <f t="shared" ca="1" si="20"/>
        <v>108021688.72587278</v>
      </c>
      <c r="T142" s="59">
        <f t="shared" ca="1" si="20"/>
        <v>100790167.69460854</v>
      </c>
      <c r="U142" s="59">
        <f t="shared" ca="1" si="20"/>
        <v>92945553.163370281</v>
      </c>
      <c r="V142" s="59">
        <f t="shared" ca="1" si="20"/>
        <v>84431683.629951864</v>
      </c>
      <c r="W142" s="59">
        <f t="shared" ca="1" si="20"/>
        <v>75188193.081168488</v>
      </c>
      <c r="X142" s="59">
        <f t="shared" ca="1" si="20"/>
        <v>65148881.858578429</v>
      </c>
      <c r="Y142" s="59">
        <f t="shared" ca="1" si="20"/>
        <v>54239851.653090514</v>
      </c>
      <c r="Z142" s="59">
        <f t="shared" ca="1" si="20"/>
        <v>42382225.558303073</v>
      </c>
      <c r="AA142" s="59">
        <f t="shared" ca="1" si="20"/>
        <v>29488013.184077825</v>
      </c>
      <c r="AB142" s="59">
        <f t="shared" ca="1" si="20"/>
        <v>15462215.765109736</v>
      </c>
      <c r="AC142" s="59">
        <f t="shared" si="20"/>
        <v>0</v>
      </c>
      <c r="AD142" s="59">
        <f t="shared" si="20"/>
        <v>0</v>
      </c>
      <c r="AE142" s="59">
        <f t="shared" si="20"/>
        <v>0</v>
      </c>
      <c r="AF142" s="59">
        <f t="shared" si="20"/>
        <v>0</v>
      </c>
      <c r="AG142" s="59">
        <f t="shared" si="20"/>
        <v>0</v>
      </c>
      <c r="AH142" s="59"/>
      <c r="AI142" s="59"/>
      <c r="AJ142" s="59"/>
      <c r="AK142" s="59"/>
      <c r="AL142" s="59"/>
      <c r="AM142" s="59"/>
      <c r="AN142" s="59"/>
      <c r="AO142" s="59"/>
      <c r="AP142" s="59"/>
      <c r="AQ142" s="59"/>
    </row>
    <row r="143" spans="1:43" s="36" customFormat="1" ht="15" customHeight="1" outlineLevel="1" x14ac:dyDescent="0.35">
      <c r="A143" s="36">
        <f>A142+1</f>
        <v>49</v>
      </c>
      <c r="D143" s="36" t="s">
        <v>183</v>
      </c>
      <c r="E143" s="36" t="s">
        <v>259</v>
      </c>
      <c r="F143" s="54" t="str">
        <f t="shared" si="16"/>
        <v>[49]</v>
      </c>
      <c r="G143" s="58" t="s">
        <v>39</v>
      </c>
      <c r="I143" s="126">
        <f t="shared" ref="I143:AG143" ca="1" si="21">I$70-I$72-I$139-I$141-I$142</f>
        <v>146771007.18475813</v>
      </c>
      <c r="J143" s="59">
        <f t="shared" ca="1" si="21"/>
        <v>60081367.516721904</v>
      </c>
      <c r="K143" s="59">
        <f t="shared" ca="1" si="21"/>
        <v>62185828.863517225</v>
      </c>
      <c r="L143" s="59">
        <f t="shared" ca="1" si="21"/>
        <v>64683509.892575085</v>
      </c>
      <c r="M143" s="59">
        <f t="shared" ca="1" si="21"/>
        <v>67584326.075072587</v>
      </c>
      <c r="N143" s="59">
        <f t="shared" ca="1" si="21"/>
        <v>70906071.425759315</v>
      </c>
      <c r="O143" s="59">
        <f t="shared" ca="1" si="21"/>
        <v>74695287.71704644</v>
      </c>
      <c r="P143" s="59">
        <f t="shared" ca="1" si="21"/>
        <v>78959193.319447145</v>
      </c>
      <c r="Q143" s="59">
        <f t="shared" ca="1" si="21"/>
        <v>85458488.36933209</v>
      </c>
      <c r="R143" s="59">
        <f t="shared" ca="1" si="21"/>
        <v>92628778.59078154</v>
      </c>
      <c r="S143" s="59">
        <f t="shared" ca="1" si="21"/>
        <v>100437792.10089239</v>
      </c>
      <c r="T143" s="59">
        <f t="shared" ca="1" si="21"/>
        <v>108952979.60053131</v>
      </c>
      <c r="U143" s="59">
        <f t="shared" ca="1" si="21"/>
        <v>118248187.96414486</v>
      </c>
      <c r="V143" s="59">
        <f t="shared" ca="1" si="21"/>
        <v>128381813.17754683</v>
      </c>
      <c r="W143" s="59">
        <f t="shared" ca="1" si="21"/>
        <v>139434878.09152865</v>
      </c>
      <c r="X143" s="59">
        <f t="shared" ca="1" si="21"/>
        <v>151514308.4095543</v>
      </c>
      <c r="Y143" s="59">
        <f t="shared" ca="1" si="21"/>
        <v>164689251.31649229</v>
      </c>
      <c r="Z143" s="59">
        <f t="shared" ca="1" si="21"/>
        <v>179086282.97535068</v>
      </c>
      <c r="AA143" s="59">
        <f t="shared" ca="1" si="21"/>
        <v>194802741.93011236</v>
      </c>
      <c r="AB143" s="59">
        <f t="shared" ca="1" si="21"/>
        <v>211975222.83346775</v>
      </c>
      <c r="AC143" s="59">
        <f t="shared" ca="1" si="21"/>
        <v>8962122.2144962195</v>
      </c>
      <c r="AD143" s="59">
        <f t="shared" ca="1" si="21"/>
        <v>0</v>
      </c>
      <c r="AE143" s="59">
        <f t="shared" ca="1" si="21"/>
        <v>0</v>
      </c>
      <c r="AF143" s="59">
        <f t="shared" ca="1" si="21"/>
        <v>0</v>
      </c>
      <c r="AG143" s="59">
        <f t="shared" ca="1" si="21"/>
        <v>0</v>
      </c>
      <c r="AH143" s="59"/>
      <c r="AI143" s="59"/>
      <c r="AJ143" s="59"/>
      <c r="AK143" s="59"/>
      <c r="AL143" s="59"/>
      <c r="AM143" s="59"/>
      <c r="AN143" s="59"/>
      <c r="AO143" s="59"/>
      <c r="AP143" s="59"/>
      <c r="AQ143" s="59"/>
    </row>
    <row r="144" spans="1:43" s="36" customFormat="1" ht="6" customHeight="1" outlineLevel="1" x14ac:dyDescent="0.35">
      <c r="F144" s="54"/>
      <c r="I144" s="94"/>
    </row>
    <row r="145" spans="1:43" s="36" customFormat="1" ht="15" customHeight="1" outlineLevel="1" x14ac:dyDescent="0.35">
      <c r="A145" s="36">
        <f>A143+1</f>
        <v>50</v>
      </c>
      <c r="D145" s="36" t="s">
        <v>177</v>
      </c>
      <c r="E145" s="36" t="s">
        <v>259</v>
      </c>
      <c r="F145" s="54" t="str">
        <f t="shared" si="16"/>
        <v>[50]</v>
      </c>
      <c r="G145" s="58" t="s">
        <v>39</v>
      </c>
      <c r="H145" s="94"/>
      <c r="I145" s="126">
        <f t="shared" ref="I145:AG145" si="22">IF(I$138&lt;=$I$14, H$145-H$147, 0)</f>
        <v>1267340300.1923404</v>
      </c>
      <c r="J145" s="126">
        <f t="shared" ca="1" si="22"/>
        <v>1186616246.2407234</v>
      </c>
      <c r="K145" s="59">
        <f t="shared" ca="1" si="22"/>
        <v>1153571494.1065264</v>
      </c>
      <c r="L145" s="59">
        <f t="shared" ca="1" si="22"/>
        <v>1119369288.2315919</v>
      </c>
      <c r="M145" s="59">
        <f t="shared" ca="1" si="22"/>
        <v>1083793357.7906756</v>
      </c>
      <c r="N145" s="59">
        <f t="shared" ca="1" si="22"/>
        <v>1046621978.4493858</v>
      </c>
      <c r="O145" s="59">
        <f t="shared" ca="1" si="22"/>
        <v>1007623639.1652181</v>
      </c>
      <c r="P145" s="59">
        <f t="shared" ca="1" si="22"/>
        <v>966541230.92084253</v>
      </c>
      <c r="Q145" s="59">
        <f t="shared" ca="1" si="22"/>
        <v>923113674.59514666</v>
      </c>
      <c r="R145" s="59">
        <f t="shared" ca="1" si="22"/>
        <v>876111505.99201405</v>
      </c>
      <c r="S145" s="59">
        <f t="shared" ca="1" si="22"/>
        <v>825165677.76708424</v>
      </c>
      <c r="T145" s="59">
        <f t="shared" ca="1" si="22"/>
        <v>769924892.11159337</v>
      </c>
      <c r="U145" s="59">
        <f t="shared" ca="1" si="22"/>
        <v>710000753.33130109</v>
      </c>
      <c r="V145" s="59">
        <f t="shared" ca="1" si="22"/>
        <v>644964249.95102143</v>
      </c>
      <c r="W145" s="59">
        <f t="shared" ca="1" si="22"/>
        <v>574354252.70337069</v>
      </c>
      <c r="X145" s="59">
        <f t="shared" ca="1" si="22"/>
        <v>497665069.75302994</v>
      </c>
      <c r="Y145" s="59">
        <f t="shared" ca="1" si="22"/>
        <v>414332200.12777507</v>
      </c>
      <c r="Z145" s="59">
        <f t="shared" ca="1" si="22"/>
        <v>323753111.90370429</v>
      </c>
      <c r="AA145" s="59">
        <f t="shared" ca="1" si="22"/>
        <v>225255656.26726139</v>
      </c>
      <c r="AB145" s="59">
        <f t="shared" ca="1" si="22"/>
        <v>118114148.20569958</v>
      </c>
      <c r="AC145" s="59">
        <f t="shared" si="22"/>
        <v>0</v>
      </c>
      <c r="AD145" s="59">
        <f t="shared" si="22"/>
        <v>0</v>
      </c>
      <c r="AE145" s="59">
        <f t="shared" si="22"/>
        <v>0</v>
      </c>
      <c r="AF145" s="59">
        <f t="shared" si="22"/>
        <v>0</v>
      </c>
      <c r="AG145" s="59">
        <f t="shared" si="22"/>
        <v>0</v>
      </c>
      <c r="AH145" s="59"/>
      <c r="AI145" s="59"/>
      <c r="AJ145" s="59"/>
      <c r="AK145" s="59"/>
      <c r="AL145" s="59"/>
      <c r="AM145" s="59"/>
      <c r="AN145" s="59"/>
      <c r="AO145" s="59"/>
      <c r="AP145" s="59"/>
      <c r="AQ145" s="59"/>
    </row>
    <row r="146" spans="1:43" s="36" customFormat="1" ht="15" customHeight="1" outlineLevel="1" x14ac:dyDescent="0.35">
      <c r="A146" s="36">
        <f>A145+1</f>
        <v>51</v>
      </c>
      <c r="D146" s="36" t="s">
        <v>178</v>
      </c>
      <c r="E146" s="36" t="s">
        <v>259</v>
      </c>
      <c r="F146" s="54" t="str">
        <f t="shared" si="16"/>
        <v>[51]</v>
      </c>
      <c r="G146" s="58" t="s">
        <v>39</v>
      </c>
      <c r="H146" s="94"/>
      <c r="I146" s="126">
        <f t="shared" ref="I146:AG146" si="23">IF(I$138=1, I$145*((1+$I$129)^0.5 - 1), I$145*$I$129)</f>
        <v>36234868.260988638</v>
      </c>
      <c r="J146" s="126">
        <f t="shared" ca="1" si="23"/>
        <v>68823742.281961963</v>
      </c>
      <c r="K146" s="59">
        <f t="shared" ca="1" si="23"/>
        <v>66907146.658178531</v>
      </c>
      <c r="L146" s="59">
        <f t="shared" ca="1" si="23"/>
        <v>64923418.717432335</v>
      </c>
      <c r="M146" s="59">
        <f t="shared" ca="1" si="23"/>
        <v>62860014.751859188</v>
      </c>
      <c r="N146" s="59">
        <f t="shared" ca="1" si="23"/>
        <v>60704074.75006438</v>
      </c>
      <c r="O146" s="59">
        <f t="shared" ca="1" si="23"/>
        <v>58442171.071582653</v>
      </c>
      <c r="P146" s="59">
        <f t="shared" ca="1" si="23"/>
        <v>56059391.393408872</v>
      </c>
      <c r="Q146" s="59">
        <f t="shared" ca="1" si="23"/>
        <v>53540593.12651851</v>
      </c>
      <c r="R146" s="59">
        <f t="shared" ca="1" si="23"/>
        <v>50814467.347536817</v>
      </c>
      <c r="S146" s="59">
        <f t="shared" ca="1" si="23"/>
        <v>47859609.310490891</v>
      </c>
      <c r="T146" s="59">
        <f t="shared" ca="1" si="23"/>
        <v>44655643.742472418</v>
      </c>
      <c r="U146" s="59">
        <f t="shared" ca="1" si="23"/>
        <v>41180043.693215467</v>
      </c>
      <c r="V146" s="59">
        <f t="shared" ca="1" si="23"/>
        <v>37407926.497159243</v>
      </c>
      <c r="W146" s="59">
        <f t="shared" ca="1" si="23"/>
        <v>33312546.656795502</v>
      </c>
      <c r="X146" s="59">
        <f t="shared" ca="1" si="23"/>
        <v>28864574.04567574</v>
      </c>
      <c r="Y146" s="59">
        <f t="shared" ca="1" si="23"/>
        <v>24031267.607410956</v>
      </c>
      <c r="Z146" s="59">
        <f t="shared" ca="1" si="23"/>
        <v>18777680.49041485</v>
      </c>
      <c r="AA146" s="59">
        <f t="shared" ca="1" si="23"/>
        <v>13064828.063501161</v>
      </c>
      <c r="AB146" s="59">
        <f t="shared" ca="1" si="23"/>
        <v>6850620.5959305763</v>
      </c>
      <c r="AC146" s="59">
        <f t="shared" si="23"/>
        <v>0</v>
      </c>
      <c r="AD146" s="59">
        <f t="shared" si="23"/>
        <v>0</v>
      </c>
      <c r="AE146" s="59">
        <f t="shared" si="23"/>
        <v>0</v>
      </c>
      <c r="AF146" s="59">
        <f t="shared" si="23"/>
        <v>0</v>
      </c>
      <c r="AG146" s="59">
        <f t="shared" si="23"/>
        <v>0</v>
      </c>
      <c r="AH146" s="59"/>
      <c r="AI146" s="59"/>
      <c r="AJ146" s="59"/>
      <c r="AK146" s="59"/>
      <c r="AL146" s="59"/>
      <c r="AM146" s="59"/>
      <c r="AN146" s="59"/>
      <c r="AO146" s="59"/>
      <c r="AP146" s="59"/>
      <c r="AQ146" s="59"/>
    </row>
    <row r="147" spans="1:43" s="36" customFormat="1" ht="15" customHeight="1" outlineLevel="1" x14ac:dyDescent="0.35">
      <c r="A147" s="36">
        <f>A146+1</f>
        <v>52</v>
      </c>
      <c r="D147" s="36" t="s">
        <v>184</v>
      </c>
      <c r="E147" s="36" t="s">
        <v>259</v>
      </c>
      <c r="F147" s="54" t="str">
        <f t="shared" si="16"/>
        <v>[52]</v>
      </c>
      <c r="G147" s="36" t="str">
        <f>$F$130&amp;" x "&amp;$F$143</f>
        <v>[41] x [49]</v>
      </c>
      <c r="H147" s="126">
        <f>-($I$13*$I$21*$I$130*1000)</f>
        <v>-1267340300.1923404</v>
      </c>
      <c r="I147" s="126">
        <f t="shared" ref="I147:AG147" ca="1" si="24">$I$130*I$143</f>
        <v>80724053.951616973</v>
      </c>
      <c r="J147" s="59">
        <f t="shared" ca="1" si="24"/>
        <v>33044752.134197049</v>
      </c>
      <c r="K147" s="59">
        <f t="shared" ca="1" si="24"/>
        <v>34202205.87493448</v>
      </c>
      <c r="L147" s="59">
        <f t="shared" ca="1" si="24"/>
        <v>35575930.4409163</v>
      </c>
      <c r="M147" s="59">
        <f t="shared" ca="1" si="24"/>
        <v>37171379.341289923</v>
      </c>
      <c r="N147" s="59">
        <f t="shared" ca="1" si="24"/>
        <v>38998339.284167625</v>
      </c>
      <c r="O147" s="59">
        <f t="shared" ca="1" si="24"/>
        <v>41082408.244375542</v>
      </c>
      <c r="P147" s="59">
        <f t="shared" ca="1" si="24"/>
        <v>43427556.325695932</v>
      </c>
      <c r="Q147" s="59">
        <f t="shared" ca="1" si="24"/>
        <v>47002168.60313265</v>
      </c>
      <c r="R147" s="59">
        <f t="shared" ca="1" si="24"/>
        <v>50945828.224929854</v>
      </c>
      <c r="S147" s="59">
        <f t="shared" ca="1" si="24"/>
        <v>55240785.655490823</v>
      </c>
      <c r="T147" s="59">
        <f t="shared" ca="1" si="24"/>
        <v>59924138.780292228</v>
      </c>
      <c r="U147" s="59">
        <f t="shared" ca="1" si="24"/>
        <v>65036503.380279675</v>
      </c>
      <c r="V147" s="59">
        <f t="shared" ca="1" si="24"/>
        <v>70609997.247650757</v>
      </c>
      <c r="W147" s="59">
        <f t="shared" ca="1" si="24"/>
        <v>76689182.950340763</v>
      </c>
      <c r="X147" s="59">
        <f t="shared" ca="1" si="24"/>
        <v>83332869.625254869</v>
      </c>
      <c r="Y147" s="59">
        <f t="shared" ca="1" si="24"/>
        <v>90579088.224070773</v>
      </c>
      <c r="Z147" s="59">
        <f t="shared" ca="1" si="24"/>
        <v>98497455.636442885</v>
      </c>
      <c r="AA147" s="59">
        <f t="shared" ca="1" si="24"/>
        <v>107141508.06156181</v>
      </c>
      <c r="AB147" s="59">
        <f t="shared" ca="1" si="24"/>
        <v>116586372.55840728</v>
      </c>
      <c r="AC147" s="59">
        <f t="shared" ca="1" si="24"/>
        <v>4929167.2179729212</v>
      </c>
      <c r="AD147" s="59">
        <f t="shared" ca="1" si="24"/>
        <v>0</v>
      </c>
      <c r="AE147" s="59">
        <f t="shared" ca="1" si="24"/>
        <v>0</v>
      </c>
      <c r="AF147" s="59">
        <f t="shared" ca="1" si="24"/>
        <v>0</v>
      </c>
      <c r="AG147" s="59">
        <f t="shared" ca="1" si="24"/>
        <v>0</v>
      </c>
      <c r="AH147" s="59"/>
      <c r="AI147" s="59"/>
      <c r="AJ147" s="59"/>
      <c r="AK147" s="59"/>
      <c r="AL147" s="59"/>
      <c r="AM147" s="59"/>
      <c r="AN147" s="59"/>
      <c r="AO147" s="59"/>
      <c r="AP147" s="59"/>
      <c r="AQ147" s="59"/>
    </row>
    <row r="148" spans="1:43" s="36" customFormat="1" ht="15" customHeight="1" outlineLevel="1" x14ac:dyDescent="0.35">
      <c r="A148" s="36">
        <f>A147+1</f>
        <v>53</v>
      </c>
      <c r="D148" s="58" t="s">
        <v>185</v>
      </c>
      <c r="E148" s="36" t="s">
        <v>259</v>
      </c>
      <c r="F148" s="54" t="str">
        <f t="shared" si="16"/>
        <v>[53]</v>
      </c>
      <c r="G148" s="36" t="str">
        <f>$F$146&amp;" + "&amp;$F$147</f>
        <v>[51] + [52]</v>
      </c>
      <c r="H148" s="126">
        <f t="shared" ref="H148:AG148" si="25">H$146+H$147</f>
        <v>-1267340300.1923404</v>
      </c>
      <c r="I148" s="126">
        <f t="shared" ca="1" si="25"/>
        <v>116958922.21260561</v>
      </c>
      <c r="J148" s="59">
        <f t="shared" ca="1" si="25"/>
        <v>101868494.416159</v>
      </c>
      <c r="K148" s="59">
        <f t="shared" ca="1" si="25"/>
        <v>101109352.533113</v>
      </c>
      <c r="L148" s="59">
        <f t="shared" ca="1" si="25"/>
        <v>100499349.15834863</v>
      </c>
      <c r="M148" s="59">
        <f t="shared" ca="1" si="25"/>
        <v>100031394.09314911</v>
      </c>
      <c r="N148" s="59">
        <f t="shared" ca="1" si="25"/>
        <v>99702414.034232005</v>
      </c>
      <c r="O148" s="59">
        <f t="shared" ca="1" si="25"/>
        <v>99524579.315958202</v>
      </c>
      <c r="P148" s="59">
        <f t="shared" ca="1" si="25"/>
        <v>99486947.719104797</v>
      </c>
      <c r="Q148" s="59">
        <f t="shared" ca="1" si="25"/>
        <v>100542761.72965115</v>
      </c>
      <c r="R148" s="59">
        <f t="shared" ca="1" si="25"/>
        <v>101760295.57246667</v>
      </c>
      <c r="S148" s="59">
        <f t="shared" ca="1" si="25"/>
        <v>103100394.96598172</v>
      </c>
      <c r="T148" s="59">
        <f t="shared" ca="1" si="25"/>
        <v>104579782.52276465</v>
      </c>
      <c r="U148" s="59">
        <f t="shared" ca="1" si="25"/>
        <v>106216547.07349515</v>
      </c>
      <c r="V148" s="59">
        <f t="shared" ca="1" si="25"/>
        <v>108017923.74481</v>
      </c>
      <c r="W148" s="59">
        <f t="shared" ca="1" si="25"/>
        <v>110001729.60713626</v>
      </c>
      <c r="X148" s="59">
        <f t="shared" ca="1" si="25"/>
        <v>112197443.67093061</v>
      </c>
      <c r="Y148" s="59">
        <f t="shared" ca="1" si="25"/>
        <v>114610355.83148172</v>
      </c>
      <c r="Z148" s="59">
        <f t="shared" ca="1" si="25"/>
        <v>117275136.12685773</v>
      </c>
      <c r="AA148" s="59">
        <f t="shared" ca="1" si="25"/>
        <v>120206336.12506297</v>
      </c>
      <c r="AB148" s="59">
        <f t="shared" ca="1" si="25"/>
        <v>123436993.15433785</v>
      </c>
      <c r="AC148" s="59">
        <f t="shared" ca="1" si="25"/>
        <v>4929167.2179729212</v>
      </c>
      <c r="AD148" s="59">
        <f t="shared" ca="1" si="25"/>
        <v>0</v>
      </c>
      <c r="AE148" s="59">
        <f t="shared" ca="1" si="25"/>
        <v>0</v>
      </c>
      <c r="AF148" s="59">
        <f t="shared" ca="1" si="25"/>
        <v>0</v>
      </c>
      <c r="AG148" s="59">
        <f t="shared" ca="1" si="25"/>
        <v>0</v>
      </c>
      <c r="AH148" s="59"/>
      <c r="AI148" s="59"/>
      <c r="AJ148" s="59"/>
      <c r="AK148" s="59"/>
      <c r="AL148" s="59"/>
      <c r="AM148" s="59"/>
      <c r="AN148" s="59"/>
      <c r="AO148" s="59"/>
      <c r="AP148" s="59"/>
      <c r="AQ148" s="59"/>
    </row>
    <row r="149" spans="1:43" s="36" customFormat="1" ht="15" customHeight="1" outlineLevel="1" x14ac:dyDescent="0.35">
      <c r="A149" s="36">
        <f>A148+1</f>
        <v>54</v>
      </c>
      <c r="D149" s="58" t="s">
        <v>186</v>
      </c>
      <c r="E149" s="36" t="s">
        <v>259</v>
      </c>
      <c r="F149" s="54" t="str">
        <f t="shared" si="16"/>
        <v>[54]</v>
      </c>
      <c r="G149" s="58" t="s">
        <v>39</v>
      </c>
      <c r="H149" s="59">
        <f ca="1">NPV($I$129, $I$148:$AG$148)*(1+$I$129)^0.5</f>
        <v>1268383185.3441403</v>
      </c>
      <c r="I149" s="94"/>
    </row>
    <row r="150" spans="1:43" s="36" customFormat="1" ht="15" customHeight="1" outlineLevel="1" x14ac:dyDescent="0.35">
      <c r="A150" s="36">
        <f>A149+1</f>
        <v>55</v>
      </c>
      <c r="D150" s="58" t="s">
        <v>189</v>
      </c>
      <c r="F150" s="54" t="str">
        <f t="shared" si="16"/>
        <v>[55]</v>
      </c>
      <c r="G150" s="36" t="s">
        <v>39</v>
      </c>
      <c r="H150" s="60" t="b">
        <f ca="1">ABS((H148+H149)/H148)&lt;0.001</f>
        <v>1</v>
      </c>
      <c r="I150" s="94"/>
    </row>
    <row r="151" spans="1:43" s="36" customFormat="1" ht="6" customHeight="1" outlineLevel="1" x14ac:dyDescent="0.35">
      <c r="D151" s="58"/>
      <c r="F151" s="54"/>
      <c r="I151" s="94"/>
    </row>
    <row r="152" spans="1:43" s="36" customFormat="1" ht="15" customHeight="1" outlineLevel="1" x14ac:dyDescent="0.35">
      <c r="A152" s="36">
        <f>A150+1</f>
        <v>56</v>
      </c>
      <c r="D152" s="36" t="s">
        <v>190</v>
      </c>
      <c r="E152" s="36" t="s">
        <v>259</v>
      </c>
      <c r="F152" s="54" t="str">
        <f t="shared" si="16"/>
        <v>[56]</v>
      </c>
      <c r="G152" s="58" t="s">
        <v>39</v>
      </c>
      <c r="I152" s="126">
        <f t="shared" ref="I152:AG152" si="26">IF(I$138&lt;=$I$14, H$152-H$154, 0)</f>
        <v>1036914791.06646</v>
      </c>
      <c r="J152" s="126">
        <f t="shared" ca="1" si="26"/>
        <v>970867837.83331883</v>
      </c>
      <c r="K152" s="59">
        <f t="shared" ca="1" si="26"/>
        <v>943831222.45079398</v>
      </c>
      <c r="L152" s="59">
        <f t="shared" ca="1" si="26"/>
        <v>915847599.46221125</v>
      </c>
      <c r="M152" s="59">
        <f t="shared" ca="1" si="26"/>
        <v>886740020.01055241</v>
      </c>
      <c r="N152" s="59">
        <f t="shared" ca="1" si="26"/>
        <v>856327073.27676976</v>
      </c>
      <c r="O152" s="59">
        <f t="shared" ca="1" si="26"/>
        <v>824419341.13517809</v>
      </c>
      <c r="P152" s="59">
        <f t="shared" ca="1" si="26"/>
        <v>790806461.66250718</v>
      </c>
      <c r="Q152" s="59">
        <f t="shared" ca="1" si="26"/>
        <v>755274824.66875601</v>
      </c>
      <c r="R152" s="59">
        <f t="shared" ca="1" si="26"/>
        <v>716818504.90255654</v>
      </c>
      <c r="S152" s="59">
        <f t="shared" ca="1" si="26"/>
        <v>675135554.5367049</v>
      </c>
      <c r="T152" s="59">
        <f t="shared" ca="1" si="26"/>
        <v>629938548.09130335</v>
      </c>
      <c r="U152" s="59">
        <f t="shared" ca="1" si="26"/>
        <v>580909707.27106428</v>
      </c>
      <c r="V152" s="59">
        <f t="shared" ca="1" si="26"/>
        <v>527698022.68719912</v>
      </c>
      <c r="W152" s="59">
        <f t="shared" ca="1" si="26"/>
        <v>469926206.75730306</v>
      </c>
      <c r="X152" s="59">
        <f t="shared" ca="1" si="26"/>
        <v>407180511.61611515</v>
      </c>
      <c r="Y152" s="59">
        <f t="shared" ca="1" si="26"/>
        <v>338999072.83181572</v>
      </c>
      <c r="Z152" s="59">
        <f t="shared" ca="1" si="26"/>
        <v>264888909.73939419</v>
      </c>
      <c r="AA152" s="59">
        <f t="shared" ca="1" si="26"/>
        <v>184300082.40048641</v>
      </c>
      <c r="AB152" s="59">
        <f t="shared" ca="1" si="26"/>
        <v>96638848.531935856</v>
      </c>
      <c r="AC152" s="59">
        <f t="shared" si="26"/>
        <v>0</v>
      </c>
      <c r="AD152" s="59">
        <f t="shared" si="26"/>
        <v>0</v>
      </c>
      <c r="AE152" s="59">
        <f t="shared" si="26"/>
        <v>0</v>
      </c>
      <c r="AF152" s="59">
        <f t="shared" si="26"/>
        <v>0</v>
      </c>
      <c r="AG152" s="59">
        <f t="shared" si="26"/>
        <v>0</v>
      </c>
      <c r="AH152" s="59"/>
      <c r="AI152" s="59"/>
      <c r="AJ152" s="59"/>
      <c r="AK152" s="59"/>
      <c r="AL152" s="59"/>
      <c r="AM152" s="59"/>
      <c r="AN152" s="59"/>
      <c r="AO152" s="59"/>
      <c r="AP152" s="59"/>
      <c r="AQ152" s="59"/>
    </row>
    <row r="153" spans="1:43" s="36" customFormat="1" ht="15" customHeight="1" outlineLevel="1" x14ac:dyDescent="0.35">
      <c r="A153" s="36">
        <f>A152+1</f>
        <v>57</v>
      </c>
      <c r="D153" s="36" t="s">
        <v>182</v>
      </c>
      <c r="E153" s="36" t="s">
        <v>259</v>
      </c>
      <c r="F153" s="54" t="str">
        <f t="shared" si="16"/>
        <v>[57]</v>
      </c>
      <c r="G153" s="58" t="s">
        <v>39</v>
      </c>
      <c r="I153" s="126">
        <f t="shared" ref="I153:AG153" si="27">IF(I$138=1, I$152*((1+$I$131)^0.5 - 1), I$152*$I$131)</f>
        <v>79876617.103205457</v>
      </c>
      <c r="J153" s="126">
        <f t="shared" ca="1" si="27"/>
        <v>155338854.05333102</v>
      </c>
      <c r="K153" s="59">
        <f t="shared" ca="1" si="27"/>
        <v>151012995.59212705</v>
      </c>
      <c r="L153" s="59">
        <f t="shared" ca="1" si="27"/>
        <v>146535615.91395381</v>
      </c>
      <c r="M153" s="59">
        <f t="shared" ca="1" si="27"/>
        <v>141878403.20168838</v>
      </c>
      <c r="N153" s="59">
        <f t="shared" ca="1" si="27"/>
        <v>137012331.72428316</v>
      </c>
      <c r="O153" s="59">
        <f t="shared" ca="1" si="27"/>
        <v>131907094.5816285</v>
      </c>
      <c r="P153" s="59">
        <f t="shared" ca="1" si="27"/>
        <v>126529033.86600114</v>
      </c>
      <c r="Q153" s="59">
        <f t="shared" ca="1" si="27"/>
        <v>120843971.94700097</v>
      </c>
      <c r="R153" s="59">
        <f t="shared" ca="1" si="27"/>
        <v>114690960.78440905</v>
      </c>
      <c r="S153" s="59">
        <f t="shared" ca="1" si="27"/>
        <v>108021688.72587278</v>
      </c>
      <c r="T153" s="59">
        <f t="shared" ca="1" si="27"/>
        <v>100790167.69460854</v>
      </c>
      <c r="U153" s="59">
        <f t="shared" ca="1" si="27"/>
        <v>92945553.163370281</v>
      </c>
      <c r="V153" s="59">
        <f t="shared" ca="1" si="27"/>
        <v>84431683.629951864</v>
      </c>
      <c r="W153" s="59">
        <f t="shared" ca="1" si="27"/>
        <v>75188193.081168488</v>
      </c>
      <c r="X153" s="59">
        <f t="shared" ca="1" si="27"/>
        <v>65148881.858578429</v>
      </c>
      <c r="Y153" s="59">
        <f t="shared" ca="1" si="27"/>
        <v>54239851.653090514</v>
      </c>
      <c r="Z153" s="59">
        <f t="shared" ca="1" si="27"/>
        <v>42382225.558303073</v>
      </c>
      <c r="AA153" s="59">
        <f t="shared" ca="1" si="27"/>
        <v>29488013.184077825</v>
      </c>
      <c r="AB153" s="59">
        <f t="shared" ca="1" si="27"/>
        <v>15462215.765109736</v>
      </c>
      <c r="AC153" s="59">
        <f t="shared" si="27"/>
        <v>0</v>
      </c>
      <c r="AD153" s="59">
        <f t="shared" si="27"/>
        <v>0</v>
      </c>
      <c r="AE153" s="59">
        <f t="shared" si="27"/>
        <v>0</v>
      </c>
      <c r="AF153" s="59">
        <f t="shared" si="27"/>
        <v>0</v>
      </c>
      <c r="AG153" s="59">
        <f t="shared" si="27"/>
        <v>0</v>
      </c>
      <c r="AH153" s="59"/>
      <c r="AI153" s="59"/>
      <c r="AJ153" s="59"/>
      <c r="AK153" s="59"/>
      <c r="AL153" s="59"/>
      <c r="AM153" s="59"/>
      <c r="AN153" s="59"/>
      <c r="AO153" s="59"/>
      <c r="AP153" s="59"/>
      <c r="AQ153" s="59"/>
    </row>
    <row r="154" spans="1:43" s="36" customFormat="1" ht="15" customHeight="1" outlineLevel="1" x14ac:dyDescent="0.35">
      <c r="A154" s="36">
        <f>A153+1</f>
        <v>58</v>
      </c>
      <c r="D154" s="36" t="s">
        <v>191</v>
      </c>
      <c r="E154" s="36" t="s">
        <v>259</v>
      </c>
      <c r="F154" s="54" t="str">
        <f t="shared" si="16"/>
        <v>[58]</v>
      </c>
      <c r="G154" s="36" t="str">
        <f>$F$134&amp;" x "&amp;$F$143</f>
        <v>[43] x [49]</v>
      </c>
      <c r="H154" s="126">
        <f>-($I$13*$I$21*$I$134*1000)</f>
        <v>-1036914791.06646</v>
      </c>
      <c r="I154" s="126">
        <f ca="1">$I$134*I$143</f>
        <v>66046953.233141154</v>
      </c>
      <c r="J154" s="126">
        <f t="shared" ref="J154:AG154" ca="1" si="28">$I$134*J$143</f>
        <v>27036615.382524855</v>
      </c>
      <c r="K154" s="126">
        <f t="shared" ca="1" si="28"/>
        <v>27983622.988582749</v>
      </c>
      <c r="L154" s="126">
        <f t="shared" ca="1" si="28"/>
        <v>29107579.451658785</v>
      </c>
      <c r="M154" s="126">
        <f t="shared" ca="1" si="28"/>
        <v>30412946.73378266</v>
      </c>
      <c r="N154" s="126">
        <f t="shared" ca="1" si="28"/>
        <v>31907732.14159169</v>
      </c>
      <c r="O154" s="126">
        <f t="shared" ca="1" si="28"/>
        <v>33612879.472670898</v>
      </c>
      <c r="P154" s="126">
        <f t="shared" ca="1" si="28"/>
        <v>35531636.993751213</v>
      </c>
      <c r="Q154" s="126">
        <f t="shared" ca="1" si="28"/>
        <v>38456319.76619944</v>
      </c>
      <c r="R154" s="126">
        <f t="shared" ca="1" si="28"/>
        <v>41682950.365851685</v>
      </c>
      <c r="S154" s="126">
        <f t="shared" ca="1" si="28"/>
        <v>45197006.445401572</v>
      </c>
      <c r="T154" s="126">
        <f t="shared" ca="1" si="28"/>
        <v>49028840.820239082</v>
      </c>
      <c r="U154" s="126">
        <f t="shared" ca="1" si="28"/>
        <v>53211684.583865181</v>
      </c>
      <c r="V154" s="126">
        <f t="shared" ca="1" si="28"/>
        <v>57771815.929896064</v>
      </c>
      <c r="W154" s="126">
        <f t="shared" ca="1" si="28"/>
        <v>62745695.141187891</v>
      </c>
      <c r="X154" s="126">
        <f t="shared" ca="1" si="28"/>
        <v>68181438.784299433</v>
      </c>
      <c r="Y154" s="126">
        <f t="shared" ca="1" si="28"/>
        <v>74110163.092421517</v>
      </c>
      <c r="Z154" s="126">
        <f t="shared" ca="1" si="28"/>
        <v>80588827.338907793</v>
      </c>
      <c r="AA154" s="126">
        <f t="shared" ca="1" si="28"/>
        <v>87661233.868550554</v>
      </c>
      <c r="AB154" s="126">
        <f t="shared" ca="1" si="28"/>
        <v>95388850.275060475</v>
      </c>
      <c r="AC154" s="126">
        <f t="shared" ca="1" si="28"/>
        <v>4032954.9965232983</v>
      </c>
      <c r="AD154" s="126">
        <f t="shared" ca="1" si="28"/>
        <v>0</v>
      </c>
      <c r="AE154" s="126">
        <f t="shared" ca="1" si="28"/>
        <v>0</v>
      </c>
      <c r="AF154" s="126">
        <f t="shared" ca="1" si="28"/>
        <v>0</v>
      </c>
      <c r="AG154" s="126">
        <f t="shared" ca="1" si="28"/>
        <v>0</v>
      </c>
      <c r="AH154" s="59"/>
      <c r="AI154" s="59"/>
      <c r="AJ154" s="59"/>
      <c r="AK154" s="59"/>
      <c r="AL154" s="59"/>
      <c r="AM154" s="59"/>
      <c r="AN154" s="59"/>
      <c r="AO154" s="59"/>
      <c r="AP154" s="59"/>
      <c r="AQ154" s="59"/>
    </row>
    <row r="155" spans="1:43" s="36" customFormat="1" ht="15" customHeight="1" outlineLevel="1" x14ac:dyDescent="0.35">
      <c r="A155" s="36">
        <f>A154+1</f>
        <v>59</v>
      </c>
      <c r="D155" s="58" t="s">
        <v>192</v>
      </c>
      <c r="E155" s="36" t="s">
        <v>259</v>
      </c>
      <c r="F155" s="54" t="str">
        <f t="shared" si="16"/>
        <v>[59]</v>
      </c>
      <c r="G155" s="36" t="str">
        <f>$F$153&amp;" + "&amp;$F$154</f>
        <v>[57] + [58]</v>
      </c>
      <c r="H155" s="59">
        <f>H$153+H$154</f>
        <v>-1036914791.06646</v>
      </c>
      <c r="I155" s="126">
        <f ca="1">I$153+I$154</f>
        <v>145923570.33634663</v>
      </c>
      <c r="J155" s="126">
        <f t="shared" ref="J155:AG155" ca="1" si="29">J$153+J$154</f>
        <v>182375469.43585587</v>
      </c>
      <c r="K155" s="126">
        <f t="shared" ca="1" si="29"/>
        <v>178996618.58070982</v>
      </c>
      <c r="L155" s="126">
        <f t="shared" ca="1" si="29"/>
        <v>175643195.3656126</v>
      </c>
      <c r="M155" s="126">
        <f t="shared" ca="1" si="29"/>
        <v>172291349.93547103</v>
      </c>
      <c r="N155" s="126">
        <f t="shared" ca="1" si="29"/>
        <v>168920063.86587486</v>
      </c>
      <c r="O155" s="126">
        <f t="shared" ca="1" si="29"/>
        <v>165519974.05429941</v>
      </c>
      <c r="P155" s="126">
        <f t="shared" ca="1" si="29"/>
        <v>162060670.85975236</v>
      </c>
      <c r="Q155" s="126">
        <f t="shared" ca="1" si="29"/>
        <v>159300291.71320039</v>
      </c>
      <c r="R155" s="126">
        <f t="shared" ca="1" si="29"/>
        <v>156373911.15026075</v>
      </c>
      <c r="S155" s="126">
        <f t="shared" ca="1" si="29"/>
        <v>153218695.17127436</v>
      </c>
      <c r="T155" s="126">
        <f t="shared" ca="1" si="29"/>
        <v>149819008.51484764</v>
      </c>
      <c r="U155" s="126">
        <f t="shared" ca="1" si="29"/>
        <v>146157237.74723548</v>
      </c>
      <c r="V155" s="126">
        <f t="shared" ca="1" si="29"/>
        <v>142203499.55984792</v>
      </c>
      <c r="W155" s="126">
        <f t="shared" ca="1" si="29"/>
        <v>137933888.22235638</v>
      </c>
      <c r="X155" s="126">
        <f t="shared" ca="1" si="29"/>
        <v>133330320.64287786</v>
      </c>
      <c r="Y155" s="126">
        <f t="shared" ca="1" si="29"/>
        <v>128350014.74551204</v>
      </c>
      <c r="Z155" s="126">
        <f t="shared" ca="1" si="29"/>
        <v>122971052.89721087</v>
      </c>
      <c r="AA155" s="126">
        <f t="shared" ca="1" si="29"/>
        <v>117149247.05262838</v>
      </c>
      <c r="AB155" s="126">
        <f t="shared" ca="1" si="29"/>
        <v>110851066.04017021</v>
      </c>
      <c r="AC155" s="126">
        <f t="shared" ca="1" si="29"/>
        <v>4032954.9965232983</v>
      </c>
      <c r="AD155" s="126">
        <f t="shared" ca="1" si="29"/>
        <v>0</v>
      </c>
      <c r="AE155" s="126">
        <f t="shared" ca="1" si="29"/>
        <v>0</v>
      </c>
      <c r="AF155" s="126">
        <f t="shared" ca="1" si="29"/>
        <v>0</v>
      </c>
      <c r="AG155" s="126">
        <f t="shared" ca="1" si="29"/>
        <v>0</v>
      </c>
      <c r="AH155" s="59"/>
      <c r="AI155" s="59"/>
      <c r="AJ155" s="59"/>
      <c r="AK155" s="59"/>
      <c r="AL155" s="59"/>
      <c r="AM155" s="59"/>
      <c r="AN155" s="59"/>
      <c r="AO155" s="59"/>
      <c r="AP155" s="59"/>
      <c r="AQ155" s="59"/>
    </row>
    <row r="156" spans="1:43" s="36" customFormat="1" ht="15" customHeight="1" outlineLevel="1" x14ac:dyDescent="0.35">
      <c r="A156" s="36">
        <f>A155+1</f>
        <v>60</v>
      </c>
      <c r="D156" s="58" t="s">
        <v>193</v>
      </c>
      <c r="E156" s="36" t="s">
        <v>259</v>
      </c>
      <c r="F156" s="54" t="str">
        <f t="shared" si="16"/>
        <v>[60]</v>
      </c>
      <c r="G156" s="58" t="s">
        <v>39</v>
      </c>
      <c r="H156" s="59">
        <f ca="1">NPV($I$131, $I$155:$AG$155)*(1+$I$131)^0.5</f>
        <v>1037038024.4577909</v>
      </c>
      <c r="I156" s="94"/>
    </row>
    <row r="157" spans="1:43" s="36" customFormat="1" ht="15" customHeight="1" outlineLevel="1" x14ac:dyDescent="0.35">
      <c r="A157" s="36">
        <f>A156+1</f>
        <v>61</v>
      </c>
      <c r="D157" s="58" t="s">
        <v>194</v>
      </c>
      <c r="F157" s="54" t="str">
        <f t="shared" si="16"/>
        <v>[61]</v>
      </c>
      <c r="G157" s="58" t="s">
        <v>39</v>
      </c>
      <c r="H157" s="60" t="b">
        <f ca="1">ABS((H155+H156)/H155)&lt;0.001</f>
        <v>1</v>
      </c>
      <c r="I157" s="94"/>
    </row>
    <row r="158" spans="1:43" s="36" customFormat="1" ht="6" customHeight="1" outlineLevel="1" thickBot="1" x14ac:dyDescent="0.4">
      <c r="D158" s="51"/>
      <c r="E158" s="51"/>
      <c r="F158" s="1659"/>
      <c r="G158" s="51"/>
      <c r="H158" s="51"/>
      <c r="I158" s="136"/>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2"/>
      <c r="AI158" s="52"/>
      <c r="AJ158" s="52"/>
      <c r="AK158" s="52"/>
      <c r="AL158" s="52"/>
      <c r="AM158" s="52"/>
      <c r="AN158" s="52"/>
      <c r="AO158" s="52"/>
      <c r="AP158" s="52"/>
      <c r="AQ158" s="52"/>
    </row>
    <row r="159" spans="1:43" s="36" customFormat="1" ht="6" customHeight="1" outlineLevel="1" thickTop="1" x14ac:dyDescent="0.35">
      <c r="D159" s="52"/>
      <c r="E159" s="52"/>
      <c r="F159" s="199"/>
      <c r="G159" s="52"/>
      <c r="H159" s="52"/>
      <c r="I159" s="200"/>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row>
    <row r="160" spans="1:43" s="36" customFormat="1" ht="15" customHeight="1" outlineLevel="1" x14ac:dyDescent="0.35">
      <c r="D160" s="205" t="s">
        <v>50</v>
      </c>
      <c r="E160" s="52"/>
      <c r="F160" s="199"/>
      <c r="G160" s="52"/>
      <c r="H160" s="52"/>
      <c r="I160" s="200"/>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row>
    <row r="161" spans="4:43" s="36" customFormat="1" ht="15" customHeight="1" outlineLevel="1" x14ac:dyDescent="0.35">
      <c r="D161" s="2149" t="str">
        <f>$F140&amp;": "&amp;$F$70&amp;" - "&amp;$F$72&amp;" - "&amp;$F$74&amp;" - "&amp;$F$139&amp;"."</f>
        <v>[46]: [30] - [31] - [32] - [45].</v>
      </c>
      <c r="E161" s="52"/>
      <c r="F161" s="199"/>
      <c r="G161" s="52"/>
      <c r="H161" s="52"/>
      <c r="I161" s="200"/>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row>
    <row r="162" spans="4:43" s="36" customFormat="1" ht="15" customHeight="1" outlineLevel="1" x14ac:dyDescent="0.35">
      <c r="D162" s="2149" t="str">
        <f>$F141&amp;": ("&amp;$F$27&amp;" x "&amp;$F$140&amp;") - "&amp;$F$77&amp;"."</f>
        <v>[47]: ([14] x [46]) - [34].</v>
      </c>
      <c r="E162" s="52"/>
      <c r="F162" s="199"/>
      <c r="G162" s="52"/>
      <c r="H162" s="52"/>
      <c r="I162" s="200"/>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row>
    <row r="163" spans="4:43" s="36" customFormat="1" ht="15" customHeight="1" outlineLevel="1" x14ac:dyDescent="0.35">
      <c r="D163" s="2149" t="str">
        <f>$F143&amp;": "&amp;$F$70&amp;" - "&amp;$F$72&amp;" - "&amp;$F$139&amp;" - "&amp;$F$141&amp;" - "&amp;$F$142&amp;"."</f>
        <v>[49]: [30] - [31] - [45] - [47] - [48].</v>
      </c>
      <c r="E163" s="52"/>
      <c r="F163" s="199"/>
      <c r="G163" s="52"/>
      <c r="H163" s="52"/>
      <c r="I163" s="200"/>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row>
    <row r="164" spans="4:43" s="36" customFormat="1" ht="15" customHeight="1" outlineLevel="1" x14ac:dyDescent="0.35">
      <c r="D164" s="2149" t="str">
        <f>$F145&amp;": If year &lt;= "&amp;$F$14&amp;": ("&amp;$F$145&amp;", Previous Year) - ("&amp;$F$147&amp;", Previous Year). If year &gt; "&amp;$F$14&amp;": 0."</f>
        <v>[50]: If year &lt;= [5]: ([50], Previous Year) - ([52], Previous Year). If year &gt; [5]: 0.</v>
      </c>
      <c r="E164" s="52"/>
      <c r="F164" s="199"/>
      <c r="G164" s="52"/>
      <c r="H164" s="52"/>
      <c r="I164" s="200"/>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row>
    <row r="165" spans="4:43" s="36" customFormat="1" ht="15" customHeight="1" outlineLevel="1" x14ac:dyDescent="0.35">
      <c r="D165" s="2149" t="str">
        <f>$F146&amp;": If year = 1: "&amp;$F$145&amp;" x ((1 + "&amp;$F$129&amp;")^0.5 - 1). If year =/= 1, "&amp;$F$145&amp;" x "&amp;$F$129&amp;"."</f>
        <v>[51]: If year = 1: [50] x ((1 + [40])^0.5 - 1). If year =/= 1, [50] x [40].</v>
      </c>
      <c r="E165" s="52"/>
      <c r="F165" s="199"/>
      <c r="G165" s="52"/>
      <c r="H165" s="52"/>
      <c r="I165" s="20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row>
    <row r="166" spans="4:43" s="36" customFormat="1" ht="15" customHeight="1" outlineLevel="1" x14ac:dyDescent="0.35">
      <c r="D166" s="2149" t="str">
        <f>$F149&amp;": NPV("&amp;$F$148&amp;" at "&amp;$F$129&amp;") x (1 + "&amp;$F$129&amp;")^0.5."</f>
        <v>[54]: NPV([53] at [40]) x (1 + [40])^0.5.</v>
      </c>
      <c r="E166" s="52"/>
      <c r="F166" s="199"/>
      <c r="G166" s="52"/>
      <c r="H166" s="52"/>
      <c r="I166" s="200"/>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row>
    <row r="167" spans="4:43" s="36" customFormat="1" ht="15" customHeight="1" outlineLevel="1" x14ac:dyDescent="0.35">
      <c r="D167" s="2149" t="str">
        <f>$F150&amp;": Checks if "&amp;$F$148&amp;" is within 0.1% of "&amp;$F$149&amp;"."</f>
        <v>[55]: Checks if [53] is within 0.1% of [54].</v>
      </c>
      <c r="E167" s="52"/>
      <c r="F167" s="199"/>
      <c r="G167" s="52"/>
      <c r="H167" s="52"/>
      <c r="I167" s="200"/>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row>
    <row r="168" spans="4:43" s="36" customFormat="1" ht="15" customHeight="1" outlineLevel="1" x14ac:dyDescent="0.35">
      <c r="D168" s="2149" t="str">
        <f>$F152&amp;": If year &lt;= "&amp;$F$14&amp;": ("&amp;$F$152&amp;", Previous Year) - ("&amp;$F$154&amp;", Previous Year). If year &gt; "&amp;$F$14&amp;": 0."</f>
        <v>[56]: If year &lt;= [5]: ([56], Previous Year) - ([58], Previous Year). If year &gt; [5]: 0.</v>
      </c>
      <c r="E168" s="52"/>
      <c r="F168" s="199"/>
      <c r="G168" s="52"/>
      <c r="H168" s="52"/>
      <c r="I168" s="200"/>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row>
    <row r="169" spans="4:43" s="36" customFormat="1" ht="15" customHeight="1" outlineLevel="1" x14ac:dyDescent="0.35">
      <c r="D169" s="2149" t="str">
        <f>$F153&amp;": If year = 1: "&amp;$F$152&amp;" x ((1 + "&amp;$F$131&amp;")^0.5 - 1). If year =/= 1, "&amp;$F$152&amp;" x "&amp;$F$131&amp;"."</f>
        <v>[57]: If year = 1: [56] x ((1 + [42])^0.5 - 1). If year =/= 1, [56] x [42].</v>
      </c>
      <c r="E169" s="52"/>
      <c r="F169" s="199"/>
      <c r="G169" s="52"/>
      <c r="H169" s="52"/>
      <c r="I169" s="200"/>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row>
    <row r="170" spans="4:43" s="36" customFormat="1" ht="15" customHeight="1" outlineLevel="1" x14ac:dyDescent="0.35">
      <c r="D170" s="2149" t="str">
        <f>$F156&amp;": NPV("&amp;$F$155&amp;" at "&amp;$F$131&amp;") x (1 + "&amp;$F$131&amp;")^0.5."</f>
        <v>[60]: NPV([59] at [42]) x (1 + [42])^0.5.</v>
      </c>
      <c r="E170" s="52"/>
      <c r="F170" s="199"/>
      <c r="G170" s="52"/>
      <c r="H170" s="52"/>
      <c r="I170" s="200"/>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row>
    <row r="171" spans="4:43" s="36" customFormat="1" ht="15" customHeight="1" outlineLevel="1" x14ac:dyDescent="0.35">
      <c r="D171" s="2149" t="str">
        <f>$F157&amp;": Checks if "&amp;$F$155&amp;" is within 0.1% of "&amp;$F$156&amp;"."</f>
        <v>[61]: Checks if [59] is within 0.1% of [60].</v>
      </c>
      <c r="E171" s="52"/>
      <c r="F171" s="199"/>
      <c r="G171" s="52"/>
      <c r="H171" s="52"/>
      <c r="I171" s="200"/>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row>
  </sheetData>
  <phoneticPr fontId="26" type="noConversion"/>
  <conditionalFormatting sqref="H86">
    <cfRule type="cellIs" dxfId="41" priority="5" operator="equal">
      <formula>FALSE</formula>
    </cfRule>
    <cfRule type="cellIs" dxfId="40" priority="6" operator="equal">
      <formula>TRUE</formula>
    </cfRule>
  </conditionalFormatting>
  <conditionalFormatting sqref="H150">
    <cfRule type="cellIs" dxfId="39" priority="3" operator="equal">
      <formula>FALSE</formula>
    </cfRule>
    <cfRule type="cellIs" dxfId="38" priority="4" operator="equal">
      <formula>TRUE</formula>
    </cfRule>
  </conditionalFormatting>
  <conditionalFormatting sqref="H157">
    <cfRule type="cellIs" dxfId="37" priority="1" operator="equal">
      <formula>FALSE</formula>
    </cfRule>
    <cfRule type="cellIs" dxfId="36"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cellWatches>
    <cellWatch r="H86"/>
  </cellWatch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A8C1-BBBD-4DFD-86BC-6D4CF4A7359E}">
  <sheetPr codeName="Sheet18">
    <pageSetUpPr autoPageBreaks="0"/>
  </sheetPr>
  <dimension ref="A1:BI57"/>
  <sheetViews>
    <sheetView showGridLines="0" zoomScale="70" zoomScaleNormal="70" workbookViewId="0"/>
  </sheetViews>
  <sheetFormatPr defaultColWidth="8.7265625" defaultRowHeight="15" customHeight="1" outlineLevelCol="1" x14ac:dyDescent="0.35"/>
  <cols>
    <col min="1" max="3" width="13.54296875" style="5" customWidth="1"/>
    <col min="4" max="4" width="34.54296875" style="5" customWidth="1"/>
    <col min="5" max="5" width="9.54296875" style="5" bestFit="1" customWidth="1"/>
    <col min="6" max="6" width="5.7265625" style="5" customWidth="1"/>
    <col min="7" max="7" width="12" style="13" bestFit="1" customWidth="1"/>
    <col min="8" max="8" width="2.54296875" style="13" customWidth="1"/>
    <col min="9" max="9" width="13.26953125" style="5" bestFit="1" customWidth="1"/>
    <col min="10" max="58" width="12.7265625" style="5" customWidth="1"/>
    <col min="59" max="59" width="8.7265625" style="5"/>
    <col min="60" max="60" width="31.81640625" style="36" hidden="1" customWidth="1" outlineLevel="1"/>
    <col min="61" max="61" width="8.7265625" style="5" collapsed="1"/>
    <col min="62" max="16384" width="8.7265625" style="5"/>
  </cols>
  <sheetData>
    <row r="1" spans="1:60" ht="15" customHeight="1" x14ac:dyDescent="0.35">
      <c r="A1" s="81" t="s">
        <v>275</v>
      </c>
      <c r="B1" s="414"/>
    </row>
    <row r="3" spans="1:60" ht="15" customHeight="1" x14ac:dyDescent="0.35">
      <c r="D3" s="88" t="str">
        <f>LEFT($D4, FIND(":",$D4)-1)</f>
        <v>Table A2</v>
      </c>
    </row>
    <row r="4" spans="1:60" ht="15" customHeight="1" x14ac:dyDescent="0.35">
      <c r="D4" s="2" t="str">
        <f>ToC!$J$26</f>
        <v>Table A2: Construction Costs</v>
      </c>
    </row>
    <row r="5" spans="1:60" ht="6" customHeight="1" thickBot="1" x14ac:dyDescent="0.4">
      <c r="D5" s="20"/>
      <c r="E5" s="20"/>
      <c r="F5" s="20"/>
      <c r="G5" s="25"/>
      <c r="H5" s="25"/>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row>
    <row r="6" spans="1:60" ht="6" customHeight="1" thickTop="1" x14ac:dyDescent="0.35"/>
    <row r="7" spans="1:60" s="152" customFormat="1" ht="15" customHeight="1" x14ac:dyDescent="0.35">
      <c r="A7" s="151"/>
      <c r="B7" s="151"/>
      <c r="C7" s="151"/>
      <c r="D7" s="162" t="s">
        <v>215</v>
      </c>
      <c r="E7" s="151"/>
      <c r="F7" s="225"/>
      <c r="G7" s="151"/>
      <c r="H7" s="151"/>
      <c r="BH7" s="2090" t="s">
        <v>174</v>
      </c>
    </row>
    <row r="8" spans="1:60" s="152" customFormat="1" ht="15" customHeight="1" x14ac:dyDescent="0.35">
      <c r="A8" s="151">
        <f>MAX($A$7:A7)+1</f>
        <v>1</v>
      </c>
      <c r="B8" s="151"/>
      <c r="C8" s="151"/>
      <c r="D8" s="215" t="str">
        <f>Control!$D$36</f>
        <v>Construction Start Date</v>
      </c>
      <c r="E8" s="151"/>
      <c r="F8" s="225" t="str">
        <f>"["&amp;A8&amp;"]"</f>
        <v>[1]</v>
      </c>
      <c r="G8" s="313" t="str">
        <f>Control!$D$3</f>
        <v>Control Table</v>
      </c>
      <c r="H8" s="157"/>
      <c r="I8" s="150">
        <f>INDEX(Control!$H$10:$H$62, MATCH($D8, Control!$D$10:$D$62, 0))</f>
        <v>45383</v>
      </c>
      <c r="BH8" s="214"/>
    </row>
    <row r="9" spans="1:60" s="152" customFormat="1" ht="15" customHeight="1" x14ac:dyDescent="0.35">
      <c r="A9" s="151">
        <f>MAX($A$7:A8)+1</f>
        <v>2</v>
      </c>
      <c r="B9" s="151"/>
      <c r="C9" s="151"/>
      <c r="D9" s="215" t="str">
        <f>Control!$D$39</f>
        <v>Mid-Point Construction Date</v>
      </c>
      <c r="E9" s="151"/>
      <c r="F9" s="225" t="str">
        <f>"["&amp;A9&amp;"]"</f>
        <v>[2]</v>
      </c>
      <c r="G9" s="313" t="str">
        <f>Control!$D$3</f>
        <v>Control Table</v>
      </c>
      <c r="H9" s="151"/>
      <c r="I9" s="150">
        <f>INDEX(Control!$H$10:$H$62, MATCH($D9, Control!$D$10:$D$62, 0))</f>
        <v>45870</v>
      </c>
      <c r="BH9" s="214"/>
    </row>
    <row r="10" spans="1:60" s="152" customFormat="1" ht="15" customHeight="1" x14ac:dyDescent="0.35">
      <c r="A10" s="151">
        <f>MAX($A$7:A9)+1</f>
        <v>3</v>
      </c>
      <c r="B10" s="151"/>
      <c r="C10" s="151"/>
      <c r="D10" s="215" t="str">
        <f>Control!$D$19</f>
        <v>Online Date</v>
      </c>
      <c r="E10" s="151"/>
      <c r="F10" s="225" t="str">
        <f>"["&amp;A10&amp;"]"</f>
        <v>[3]</v>
      </c>
      <c r="G10" s="313" t="str">
        <f>Control!$D$3</f>
        <v>Control Table</v>
      </c>
      <c r="H10" s="151"/>
      <c r="I10" s="150">
        <f>INDEX(Control!$H$10:$H$62, MATCH($D10, Control!$D$10:$D$62, 0))</f>
        <v>46905</v>
      </c>
      <c r="BH10" s="219"/>
    </row>
    <row r="11" spans="1:60" s="152" customFormat="1" ht="15" customHeight="1" x14ac:dyDescent="0.35">
      <c r="A11" s="151">
        <f>MAX($A$7:A10)+1</f>
        <v>4</v>
      </c>
      <c r="D11" s="226" t="s">
        <v>51</v>
      </c>
      <c r="F11" s="213" t="str">
        <f>"["&amp;A11&amp;"]"</f>
        <v>[4]</v>
      </c>
      <c r="G11" s="230" t="str">
        <f>'S&amp;L Capital Drawdown Schedule'!$D$3</f>
        <v>Table C14</v>
      </c>
      <c r="H11" s="157"/>
      <c r="I11" s="313">
        <f>INDEX('S&amp;L Capital Drawdown Schedule'!$E$11:$E$13,MATCH($I$14,'S&amp;L Capital Drawdown Schedule'!$BI$11:$BI$13,0))</f>
        <v>50</v>
      </c>
      <c r="BH11" s="219"/>
    </row>
    <row r="12" spans="1:60" s="152" customFormat="1" ht="6" customHeight="1" x14ac:dyDescent="0.35">
      <c r="A12" s="151"/>
      <c r="B12" s="151"/>
      <c r="C12" s="151"/>
      <c r="D12" s="215"/>
      <c r="E12" s="151"/>
      <c r="F12" s="225"/>
      <c r="G12" s="313"/>
      <c r="H12" s="151"/>
      <c r="I12" s="150"/>
      <c r="BH12" s="214"/>
    </row>
    <row r="13" spans="1:60" s="152" customFormat="1" ht="15" customHeight="1" x14ac:dyDescent="0.35">
      <c r="D13" s="161" t="s">
        <v>208</v>
      </c>
      <c r="G13" s="230"/>
      <c r="H13" s="157"/>
      <c r="BH13" s="214"/>
    </row>
    <row r="14" spans="1:60" s="152" customFormat="1" ht="15" customHeight="1" x14ac:dyDescent="0.35">
      <c r="A14" s="151">
        <f>MAX($A$7:A13)+1</f>
        <v>5</v>
      </c>
      <c r="D14" s="215" t="s">
        <v>1</v>
      </c>
      <c r="F14" s="213" t="str">
        <f>"["&amp;A14&amp;"]"</f>
        <v>[5]</v>
      </c>
      <c r="G14" s="313" t="str">
        <f>Control!$D$3</f>
        <v>Control Table</v>
      </c>
      <c r="I14" s="220" t="str">
        <f>INDEX(Control!$H$10:$H$62, MATCH($D14, Control!$D$10:$D$62, 0))</f>
        <v>CC</v>
      </c>
      <c r="BH14" s="214"/>
    </row>
    <row r="15" spans="1:60" s="152" customFormat="1" ht="15" customHeight="1" x14ac:dyDescent="0.35">
      <c r="A15" s="294">
        <f>MAX($A$7:A14)+1</f>
        <v>6</v>
      </c>
      <c r="D15" s="215" t="s">
        <v>287</v>
      </c>
      <c r="F15" s="213" t="str">
        <f>"["&amp;A15&amp;"]"</f>
        <v>[6]</v>
      </c>
      <c r="G15" s="313" t="str">
        <f>Control!$D$3</f>
        <v>Control Table</v>
      </c>
      <c r="I15" s="308" t="str">
        <f>INDEX(Control!$H$10:$H$62, MATCH($D15, Control!$D$10:$D$62, 0))</f>
        <v>Rest of RTO</v>
      </c>
      <c r="BH15" s="214"/>
    </row>
    <row r="16" spans="1:60" s="152" customFormat="1" ht="15" customHeight="1" x14ac:dyDescent="0.35">
      <c r="A16" s="294">
        <f>MAX($A$7:A15)+1</f>
        <v>7</v>
      </c>
      <c r="D16" s="216" t="str">
        <f>'CT Capital Costs'!$D$75</f>
        <v>Overnight Capital Costs</v>
      </c>
      <c r="E16" s="152" t="s">
        <v>259</v>
      </c>
      <c r="F16" s="213" t="str">
        <f t="shared" ref="F16:F22" si="0">"["&amp;A16&amp;"]"</f>
        <v>[7]</v>
      </c>
      <c r="G16" s="230" t="s">
        <v>39</v>
      </c>
      <c r="H16" s="157"/>
      <c r="I16" s="242">
        <f>IF($I$14=Control!$I$10,INDEX('CT Capital Costs'!$R$41:$V$76,MATCH(D$16,'CT Capital Costs'!$D$41:$D$76,0),MATCH($I$15,'CT Capital Costs'!$R$31:$V$31,0)),IF($I$14=Control!$J$10,INDEX('CC Capital Costs'!$R$49:$V$77,MATCH(D$16,'CC Capital Costs'!$D$49:$D$77,0),MATCH($I$15,'CC Capital Costs'!$R$31:$V$31,0)),INDEX('BESS Capital Costs'!$R$42:$V$61,MATCH($D$16,'BESS Capital Costs'!$D$42:$D$61,0),MATCH($I$15,'BESS Capital Costs'!$R$31:$V$31,0))))</f>
        <v>1811348085.1208434</v>
      </c>
      <c r="J16" s="227"/>
      <c r="BH16" s="214"/>
    </row>
    <row r="17" spans="1:60" s="152" customFormat="1" ht="15" customHeight="1" x14ac:dyDescent="0.35">
      <c r="A17" s="294">
        <f>MAX($A$7:A16)+1</f>
        <v>8</v>
      </c>
      <c r="D17" s="216" t="s">
        <v>238</v>
      </c>
      <c r="E17" s="152" t="s">
        <v>259</v>
      </c>
      <c r="F17" s="213" t="str">
        <f t="shared" si="0"/>
        <v>[8]</v>
      </c>
      <c r="G17" s="230" t="s">
        <v>39</v>
      </c>
      <c r="H17" s="157"/>
      <c r="I17" s="242">
        <f>IF($I$14=Control!$I$10,INDEX('CT Capital Costs'!$R$41:$V$76,MATCH($BH$17,'CT Capital Costs'!$D$41:$D$76,0),MATCH($I$15,'CT Capital Costs'!$R$31:$V$31,0)),IF($I$14=Control!$J$10,INDEX('CC Capital Costs'!$R$49:$V$77,MATCH($BH$17,'CC Capital Costs'!$D$49:$D$77,0),MATCH($I$15,'CC Capital Costs'!$R$31:$V$31,0)),INDEX('BESS Capital Costs'!$R$47:$V$62,MATCH($BH$17,'BESS Capital Costs'!$D$47:$D$62,0),MATCH($I$15,'BESS Capital Costs'!$R$31:$V$31,0))))</f>
        <v>2626916.7667765873</v>
      </c>
      <c r="BH17" s="219" t="str">
        <f>'CC Capital Costs'!$D$68</f>
        <v>Land</v>
      </c>
    </row>
    <row r="18" spans="1:60" s="152" customFormat="1" ht="6" customHeight="1" x14ac:dyDescent="0.35">
      <c r="A18" s="151"/>
      <c r="D18" s="216"/>
      <c r="F18" s="213"/>
      <c r="G18" s="230"/>
      <c r="H18" s="157"/>
      <c r="I18" s="153"/>
      <c r="BH18" s="214"/>
    </row>
    <row r="19" spans="1:60" s="152" customFormat="1" ht="15" customHeight="1" x14ac:dyDescent="0.35">
      <c r="A19" s="151"/>
      <c r="D19" s="161" t="s">
        <v>249</v>
      </c>
      <c r="F19" s="213"/>
      <c r="G19" s="230"/>
      <c r="H19" s="157"/>
      <c r="I19" s="153"/>
      <c r="BH19" s="214"/>
    </row>
    <row r="20" spans="1:60" s="152" customFormat="1" ht="15" customHeight="1" x14ac:dyDescent="0.35">
      <c r="A20" s="151">
        <f>MAX($A$7:A17)+1</f>
        <v>9</v>
      </c>
      <c r="D20" s="226" t="str">
        <f>Control!$D$60</f>
        <v>ATWACC Nominal</v>
      </c>
      <c r="E20" s="152" t="s">
        <v>10</v>
      </c>
      <c r="F20" s="213" t="str">
        <f t="shared" si="0"/>
        <v>[9]</v>
      </c>
      <c r="G20" s="230" t="str">
        <f>Control!$D$3</f>
        <v>Control Table</v>
      </c>
      <c r="H20" s="157"/>
      <c r="I20" s="220">
        <f>INDEX(Control!$H$10:$H$62, MATCH($D20, Control!$D$10:$D$62, 0))</f>
        <v>9.5187440099999993E-2</v>
      </c>
      <c r="BH20" s="214"/>
    </row>
    <row r="21" spans="1:60" s="152" customFormat="1" ht="15" customHeight="1" x14ac:dyDescent="0.35">
      <c r="A21" s="151">
        <f>MAX($A$7:A20)+1</f>
        <v>10</v>
      </c>
      <c r="D21" s="226" t="str">
        <f>Control!$D$62</f>
        <v>Construction Debt Fraction</v>
      </c>
      <c r="E21" s="152" t="s">
        <v>10</v>
      </c>
      <c r="F21" s="213" t="str">
        <f t="shared" si="0"/>
        <v>[10]</v>
      </c>
      <c r="G21" s="230" t="str">
        <f>Control!$D$3</f>
        <v>Control Table</v>
      </c>
      <c r="H21" s="157"/>
      <c r="I21" s="220">
        <f>INDEX(Control!$H$10:$H$62, MATCH($D21, Control!$D$10:$D$62, 0))</f>
        <v>0.55000000000000004</v>
      </c>
      <c r="BH21" s="214"/>
    </row>
    <row r="22" spans="1:60" s="152" customFormat="1" ht="15" customHeight="1" x14ac:dyDescent="0.35">
      <c r="A22" s="151">
        <f>MAX($A$7:A21)+1</f>
        <v>11</v>
      </c>
      <c r="D22" s="226" t="str">
        <f>Control!$D$61</f>
        <v>Interest During Construction</v>
      </c>
      <c r="E22" s="152" t="s">
        <v>10</v>
      </c>
      <c r="F22" s="213" t="str">
        <f t="shared" si="0"/>
        <v>[11]</v>
      </c>
      <c r="G22" s="230" t="str">
        <f>Control!$D$3</f>
        <v>Control Table</v>
      </c>
      <c r="H22" s="157"/>
      <c r="I22" s="220">
        <f>INDEX(Control!$H$10:$H$62, MATCH($D22, Control!$D$10:$D$62, 0))</f>
        <v>5.8000000000000003E-2</v>
      </c>
      <c r="BH22" s="214"/>
    </row>
    <row r="23" spans="1:60" s="152" customFormat="1" ht="15" customHeight="1" x14ac:dyDescent="0.35">
      <c r="A23" s="151">
        <f>MAX($A$7:A22)+1</f>
        <v>12</v>
      </c>
      <c r="D23" s="226" t="s">
        <v>53</v>
      </c>
      <c r="E23" s="152" t="s">
        <v>10</v>
      </c>
      <c r="F23" s="213" t="str">
        <f>"["&amp;A23&amp;"]"</f>
        <v>[12]</v>
      </c>
      <c r="G23" s="230" t="s">
        <v>39</v>
      </c>
      <c r="H23" s="157"/>
      <c r="I23" s="154">
        <f>(1+$I$20)^(1/12)-1</f>
        <v>7.6059063029114693E-3</v>
      </c>
      <c r="BH23" s="214"/>
    </row>
    <row r="24" spans="1:60" s="152" customFormat="1" ht="15" customHeight="1" x14ac:dyDescent="0.35">
      <c r="A24" s="151">
        <f>MAX($A$7:A23)+1</f>
        <v>13</v>
      </c>
      <c r="D24" s="226" t="s">
        <v>52</v>
      </c>
      <c r="E24" s="152" t="s">
        <v>10</v>
      </c>
      <c r="F24" s="213" t="str">
        <f>"["&amp;A24&amp;"]"</f>
        <v>[13]</v>
      </c>
      <c r="G24" s="230" t="s">
        <v>39</v>
      </c>
      <c r="H24" s="157"/>
      <c r="I24" s="154">
        <f>(1+$I$22)^(1/12)-1</f>
        <v>4.7094157243421364E-3</v>
      </c>
      <c r="BH24" s="214"/>
    </row>
    <row r="25" spans="1:60" s="152" customFormat="1" ht="6" customHeight="1" x14ac:dyDescent="0.35">
      <c r="D25" s="155"/>
      <c r="E25" s="155"/>
      <c r="F25" s="155"/>
      <c r="G25" s="159"/>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H25" s="214"/>
    </row>
    <row r="26" spans="1:60" s="152" customFormat="1" ht="6" customHeight="1" x14ac:dyDescent="0.35">
      <c r="G26" s="313"/>
      <c r="BH26" s="214"/>
    </row>
    <row r="27" spans="1:60" s="152" customFormat="1" ht="15" customHeight="1" x14ac:dyDescent="0.35">
      <c r="D27" s="161" t="s">
        <v>228</v>
      </c>
      <c r="G27" s="313"/>
      <c r="BH27" s="214"/>
    </row>
    <row r="28" spans="1:60" s="152" customFormat="1" ht="15" customHeight="1" x14ac:dyDescent="0.35">
      <c r="A28" s="151">
        <f>MAX($A$7:A26)+1</f>
        <v>14</v>
      </c>
      <c r="D28" s="226" t="s">
        <v>54</v>
      </c>
      <c r="F28" s="213" t="str">
        <f>"["&amp;A28&amp;"]"</f>
        <v>[14]</v>
      </c>
      <c r="G28" s="230" t="s">
        <v>39</v>
      </c>
      <c r="H28" s="157"/>
      <c r="I28" s="228">
        <f>1</f>
        <v>1</v>
      </c>
      <c r="J28" s="227">
        <f>I28+1</f>
        <v>2</v>
      </c>
      <c r="K28" s="227">
        <f t="shared" ref="K28:AU28" si="1">J28+1</f>
        <v>3</v>
      </c>
      <c r="L28" s="227">
        <f t="shared" si="1"/>
        <v>4</v>
      </c>
      <c r="M28" s="227">
        <f t="shared" si="1"/>
        <v>5</v>
      </c>
      <c r="N28" s="227">
        <f t="shared" si="1"/>
        <v>6</v>
      </c>
      <c r="O28" s="227">
        <f t="shared" si="1"/>
        <v>7</v>
      </c>
      <c r="P28" s="227">
        <f t="shared" si="1"/>
        <v>8</v>
      </c>
      <c r="Q28" s="227">
        <f t="shared" si="1"/>
        <v>9</v>
      </c>
      <c r="R28" s="227">
        <f t="shared" si="1"/>
        <v>10</v>
      </c>
      <c r="S28" s="227">
        <f t="shared" si="1"/>
        <v>11</v>
      </c>
      <c r="T28" s="227">
        <f t="shared" si="1"/>
        <v>12</v>
      </c>
      <c r="U28" s="227">
        <f t="shared" si="1"/>
        <v>13</v>
      </c>
      <c r="V28" s="227">
        <f t="shared" si="1"/>
        <v>14</v>
      </c>
      <c r="W28" s="227">
        <f t="shared" si="1"/>
        <v>15</v>
      </c>
      <c r="X28" s="227">
        <f t="shared" si="1"/>
        <v>16</v>
      </c>
      <c r="Y28" s="227">
        <f t="shared" si="1"/>
        <v>17</v>
      </c>
      <c r="Z28" s="227">
        <f t="shared" si="1"/>
        <v>18</v>
      </c>
      <c r="AA28" s="227">
        <f t="shared" si="1"/>
        <v>19</v>
      </c>
      <c r="AB28" s="227">
        <f t="shared" si="1"/>
        <v>20</v>
      </c>
      <c r="AC28" s="227">
        <f t="shared" si="1"/>
        <v>21</v>
      </c>
      <c r="AD28" s="227">
        <f t="shared" si="1"/>
        <v>22</v>
      </c>
      <c r="AE28" s="227">
        <f t="shared" si="1"/>
        <v>23</v>
      </c>
      <c r="AF28" s="227">
        <f t="shared" si="1"/>
        <v>24</v>
      </c>
      <c r="AG28" s="227">
        <f t="shared" si="1"/>
        <v>25</v>
      </c>
      <c r="AH28" s="227">
        <f t="shared" si="1"/>
        <v>26</v>
      </c>
      <c r="AI28" s="227">
        <f t="shared" si="1"/>
        <v>27</v>
      </c>
      <c r="AJ28" s="227">
        <f t="shared" si="1"/>
        <v>28</v>
      </c>
      <c r="AK28" s="227">
        <f t="shared" si="1"/>
        <v>29</v>
      </c>
      <c r="AL28" s="227">
        <f t="shared" si="1"/>
        <v>30</v>
      </c>
      <c r="AM28" s="227">
        <f t="shared" si="1"/>
        <v>31</v>
      </c>
      <c r="AN28" s="227">
        <f t="shared" si="1"/>
        <v>32</v>
      </c>
      <c r="AO28" s="227">
        <f t="shared" si="1"/>
        <v>33</v>
      </c>
      <c r="AP28" s="227">
        <f t="shared" si="1"/>
        <v>34</v>
      </c>
      <c r="AQ28" s="227">
        <f t="shared" si="1"/>
        <v>35</v>
      </c>
      <c r="AR28" s="227">
        <f t="shared" si="1"/>
        <v>36</v>
      </c>
      <c r="AS28" s="227">
        <f t="shared" si="1"/>
        <v>37</v>
      </c>
      <c r="AT28" s="227">
        <f t="shared" si="1"/>
        <v>38</v>
      </c>
      <c r="AU28" s="227">
        <f t="shared" si="1"/>
        <v>39</v>
      </c>
      <c r="AV28" s="227">
        <f t="shared" ref="AV28:BF28" si="2">AU28+1</f>
        <v>40</v>
      </c>
      <c r="AW28" s="227">
        <f t="shared" si="2"/>
        <v>41</v>
      </c>
      <c r="AX28" s="227">
        <f t="shared" si="2"/>
        <v>42</v>
      </c>
      <c r="AY28" s="227">
        <f t="shared" si="2"/>
        <v>43</v>
      </c>
      <c r="AZ28" s="227">
        <f t="shared" si="2"/>
        <v>44</v>
      </c>
      <c r="BA28" s="227">
        <f t="shared" si="2"/>
        <v>45</v>
      </c>
      <c r="BB28" s="227">
        <f t="shared" si="2"/>
        <v>46</v>
      </c>
      <c r="BC28" s="227">
        <f t="shared" si="2"/>
        <v>47</v>
      </c>
      <c r="BD28" s="227">
        <f t="shared" si="2"/>
        <v>48</v>
      </c>
      <c r="BE28" s="227">
        <f t="shared" si="2"/>
        <v>49</v>
      </c>
      <c r="BF28" s="227">
        <f t="shared" si="2"/>
        <v>50</v>
      </c>
      <c r="BH28" s="214"/>
    </row>
    <row r="29" spans="1:60" s="152" customFormat="1" ht="15" customHeight="1" x14ac:dyDescent="0.35">
      <c r="A29" s="151">
        <f>MAX($A$7:A28)+1</f>
        <v>15</v>
      </c>
      <c r="D29" s="226" t="s">
        <v>55</v>
      </c>
      <c r="F29" s="213" t="str">
        <f>"["&amp;A29&amp;"]"</f>
        <v>[15]</v>
      </c>
      <c r="G29" s="230" t="s">
        <v>39</v>
      </c>
      <c r="H29" s="157"/>
      <c r="I29" s="229">
        <f t="shared" ref="I29:AN29" si="3">IF(H$29=0,$I$8,EDATE(H$29,1))</f>
        <v>45383</v>
      </c>
      <c r="J29" s="229">
        <f t="shared" si="3"/>
        <v>45413</v>
      </c>
      <c r="K29" s="229">
        <f t="shared" si="3"/>
        <v>45444</v>
      </c>
      <c r="L29" s="229">
        <f t="shared" si="3"/>
        <v>45474</v>
      </c>
      <c r="M29" s="229">
        <f t="shared" si="3"/>
        <v>45505</v>
      </c>
      <c r="N29" s="229">
        <f t="shared" si="3"/>
        <v>45536</v>
      </c>
      <c r="O29" s="229">
        <f t="shared" si="3"/>
        <v>45566</v>
      </c>
      <c r="P29" s="229">
        <f t="shared" si="3"/>
        <v>45597</v>
      </c>
      <c r="Q29" s="229">
        <f t="shared" si="3"/>
        <v>45627</v>
      </c>
      <c r="R29" s="229">
        <f t="shared" si="3"/>
        <v>45658</v>
      </c>
      <c r="S29" s="229">
        <f t="shared" si="3"/>
        <v>45689</v>
      </c>
      <c r="T29" s="229">
        <f t="shared" si="3"/>
        <v>45717</v>
      </c>
      <c r="U29" s="229">
        <f t="shared" si="3"/>
        <v>45748</v>
      </c>
      <c r="V29" s="229">
        <f t="shared" si="3"/>
        <v>45778</v>
      </c>
      <c r="W29" s="229">
        <f t="shared" si="3"/>
        <v>45809</v>
      </c>
      <c r="X29" s="229">
        <f t="shared" si="3"/>
        <v>45839</v>
      </c>
      <c r="Y29" s="229">
        <f t="shared" si="3"/>
        <v>45870</v>
      </c>
      <c r="Z29" s="229">
        <f t="shared" si="3"/>
        <v>45901</v>
      </c>
      <c r="AA29" s="229">
        <f t="shared" si="3"/>
        <v>45931</v>
      </c>
      <c r="AB29" s="229">
        <f t="shared" si="3"/>
        <v>45962</v>
      </c>
      <c r="AC29" s="229">
        <f t="shared" si="3"/>
        <v>45992</v>
      </c>
      <c r="AD29" s="229">
        <f t="shared" si="3"/>
        <v>46023</v>
      </c>
      <c r="AE29" s="229">
        <f t="shared" si="3"/>
        <v>46054</v>
      </c>
      <c r="AF29" s="229">
        <f t="shared" si="3"/>
        <v>46082</v>
      </c>
      <c r="AG29" s="229">
        <f t="shared" si="3"/>
        <v>46113</v>
      </c>
      <c r="AH29" s="229">
        <f t="shared" si="3"/>
        <v>46143</v>
      </c>
      <c r="AI29" s="229">
        <f t="shared" si="3"/>
        <v>46174</v>
      </c>
      <c r="AJ29" s="229">
        <f t="shared" si="3"/>
        <v>46204</v>
      </c>
      <c r="AK29" s="229">
        <f t="shared" si="3"/>
        <v>46235</v>
      </c>
      <c r="AL29" s="229">
        <f t="shared" si="3"/>
        <v>46266</v>
      </c>
      <c r="AM29" s="229">
        <f t="shared" si="3"/>
        <v>46296</v>
      </c>
      <c r="AN29" s="229">
        <f t="shared" si="3"/>
        <v>46327</v>
      </c>
      <c r="AO29" s="229">
        <f t="shared" ref="AO29:BF29" si="4">IF(AN$29=0,$I$8,EDATE(AN$29,1))</f>
        <v>46357</v>
      </c>
      <c r="AP29" s="229">
        <f t="shared" si="4"/>
        <v>46388</v>
      </c>
      <c r="AQ29" s="229">
        <f t="shared" si="4"/>
        <v>46419</v>
      </c>
      <c r="AR29" s="229">
        <f t="shared" si="4"/>
        <v>46447</v>
      </c>
      <c r="AS29" s="229">
        <f t="shared" si="4"/>
        <v>46478</v>
      </c>
      <c r="AT29" s="229">
        <f t="shared" si="4"/>
        <v>46508</v>
      </c>
      <c r="AU29" s="229">
        <f t="shared" si="4"/>
        <v>46539</v>
      </c>
      <c r="AV29" s="229">
        <f t="shared" si="4"/>
        <v>46569</v>
      </c>
      <c r="AW29" s="229">
        <f t="shared" si="4"/>
        <v>46600</v>
      </c>
      <c r="AX29" s="229">
        <f t="shared" si="4"/>
        <v>46631</v>
      </c>
      <c r="AY29" s="229">
        <f t="shared" si="4"/>
        <v>46661</v>
      </c>
      <c r="AZ29" s="229">
        <f t="shared" si="4"/>
        <v>46692</v>
      </c>
      <c r="BA29" s="229">
        <f t="shared" si="4"/>
        <v>46722</v>
      </c>
      <c r="BB29" s="229">
        <f t="shared" si="4"/>
        <v>46753</v>
      </c>
      <c r="BC29" s="229">
        <f t="shared" si="4"/>
        <v>46784</v>
      </c>
      <c r="BD29" s="229">
        <f t="shared" si="4"/>
        <v>46813</v>
      </c>
      <c r="BE29" s="229">
        <f t="shared" si="4"/>
        <v>46844</v>
      </c>
      <c r="BF29" s="229">
        <f t="shared" si="4"/>
        <v>46874</v>
      </c>
      <c r="BH29" s="214"/>
    </row>
    <row r="30" spans="1:60" s="152" customFormat="1" ht="6" customHeight="1" x14ac:dyDescent="0.35">
      <c r="D30" s="155"/>
      <c r="E30" s="155"/>
      <c r="F30" s="155"/>
      <c r="G30" s="159"/>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H30" s="214"/>
    </row>
    <row r="31" spans="1:60" s="152" customFormat="1" ht="6" customHeight="1" x14ac:dyDescent="0.35">
      <c r="G31" s="313"/>
      <c r="BH31" s="214"/>
    </row>
    <row r="32" spans="1:60" s="152" customFormat="1" ht="15" customHeight="1" x14ac:dyDescent="0.35">
      <c r="D32" s="161" t="s">
        <v>59</v>
      </c>
      <c r="G32" s="230"/>
      <c r="H32" s="157"/>
      <c r="BH32" s="214"/>
    </row>
    <row r="33" spans="1:60" s="152" customFormat="1" ht="15" customHeight="1" x14ac:dyDescent="0.35">
      <c r="A33" s="151">
        <f>MAX($A$7:A32)+1</f>
        <v>16</v>
      </c>
      <c r="D33" s="226" t="s">
        <v>56</v>
      </c>
      <c r="E33" s="152" t="s">
        <v>10</v>
      </c>
      <c r="F33" s="213" t="str">
        <f t="shared" ref="F33:F38" si="5">"["&amp;A33&amp;"]"</f>
        <v>[16]</v>
      </c>
      <c r="G33" s="230" t="str">
        <f>'S&amp;L Capital Drawdown Schedule'!$D$3</f>
        <v>Table C14</v>
      </c>
      <c r="H33" s="157"/>
      <c r="I33" s="154">
        <f>IFERROR(INDEX('S&amp;L Capital Drawdown Schedule'!$H$11:$BE$13,MATCH($I$14,'S&amp;L Capital Drawdown Schedule'!$BI$11:$BI$13,0),MATCH(I$28,'S&amp;L Capital Drawdown Schedule'!$H$8:$BE$8,0)),0)</f>
        <v>2.3643825838686655E-2</v>
      </c>
      <c r="J33" s="154">
        <f>IFERROR(INDEX('S&amp;L Capital Drawdown Schedule'!$H$11:$BE$13,MATCH($I$14,'S&amp;L Capital Drawdown Schedule'!$BI$11:$BI$13,0),MATCH(J$28,'S&amp;L Capital Drawdown Schedule'!$H$8:$BE$8,0)),0)</f>
        <v>2.329652926481085E-2</v>
      </c>
      <c r="K33" s="154">
        <f>IFERROR(INDEX('S&amp;L Capital Drawdown Schedule'!$H$11:$BE$13,MATCH($I$14,'S&amp;L Capital Drawdown Schedule'!$BI$11:$BI$13,0),MATCH(K$28,'S&amp;L Capital Drawdown Schedule'!$H$8:$BE$8,0)),0)</f>
        <v>0.02</v>
      </c>
      <c r="L33" s="154">
        <f>IFERROR(INDEX('S&amp;L Capital Drawdown Schedule'!$H$11:$BE$13,MATCH($I$14,'S&amp;L Capital Drawdown Schedule'!$BI$11:$BI$13,0),MATCH(L$28,'S&amp;L Capital Drawdown Schedule'!$H$8:$BE$8,0)),0)</f>
        <v>7.8059644896502509E-2</v>
      </c>
      <c r="M33" s="154">
        <f>IFERROR(INDEX('S&amp;L Capital Drawdown Schedule'!$H$11:$BE$13,MATCH($I$14,'S&amp;L Capital Drawdown Schedule'!$BI$11:$BI$13,0),MATCH(M$28,'S&amp;L Capital Drawdown Schedule'!$H$8:$BE$8,0)),0)</f>
        <v>3.4909622591006419E-2</v>
      </c>
      <c r="N33" s="154">
        <f>IFERROR(INDEX('S&amp;L Capital Drawdown Schedule'!$H$11:$BE$13,MATCH($I$14,'S&amp;L Capital Drawdown Schedule'!$BI$11:$BI$13,0),MATCH(N$28,'S&amp;L Capital Drawdown Schedule'!$H$8:$BE$8,0)),0)</f>
        <v>0.02</v>
      </c>
      <c r="O33" s="154">
        <f>IFERROR(INDEX('S&amp;L Capital Drawdown Schedule'!$H$11:$BE$13,MATCH($I$14,'S&amp;L Capital Drawdown Schedule'!$BI$11:$BI$13,0),MATCH(O$28,'S&amp;L Capital Drawdown Schedule'!$H$8:$BE$8,0)),0)</f>
        <v>5.4895314793678353E-2</v>
      </c>
      <c r="P33" s="154">
        <f>IFERROR(INDEX('S&amp;L Capital Drawdown Schedule'!$H$11:$BE$13,MATCH($I$14,'S&amp;L Capital Drawdown Schedule'!$BI$11:$BI$13,0),MATCH(P$28,'S&amp;L Capital Drawdown Schedule'!$H$8:$BE$8,0)),0)</f>
        <v>3.1622233066340752E-2</v>
      </c>
      <c r="Q33" s="154">
        <f>IFERROR(INDEX('S&amp;L Capital Drawdown Schedule'!$H$11:$BE$13,MATCH($I$14,'S&amp;L Capital Drawdown Schedule'!$BI$11:$BI$13,0),MATCH(Q$28,'S&amp;L Capital Drawdown Schedule'!$H$8:$BE$8,0)),0)</f>
        <v>3.1622233066340752E-2</v>
      </c>
      <c r="R33" s="154">
        <f>IFERROR(INDEX('S&amp;L Capital Drawdown Schedule'!$H$11:$BE$13,MATCH($I$14,'S&amp;L Capital Drawdown Schedule'!$BI$11:$BI$13,0),MATCH(R$28,'S&amp;L Capital Drawdown Schedule'!$H$8:$BE$8,0)),0)</f>
        <v>2.7069403088090707E-2</v>
      </c>
      <c r="S33" s="154">
        <f>IFERROR(INDEX('S&amp;L Capital Drawdown Schedule'!$H$11:$BE$13,MATCH($I$14,'S&amp;L Capital Drawdown Schedule'!$BI$11:$BI$13,0),MATCH(S$28,'S&amp;L Capital Drawdown Schedule'!$H$8:$BE$8,0)),0)</f>
        <v>2.7069403088090707E-2</v>
      </c>
      <c r="T33" s="154">
        <f>IFERROR(INDEX('S&amp;L Capital Drawdown Schedule'!$H$11:$BE$13,MATCH($I$14,'S&amp;L Capital Drawdown Schedule'!$BI$11:$BI$13,0),MATCH(T$28,'S&amp;L Capital Drawdown Schedule'!$H$8:$BE$8,0)),0)</f>
        <v>2.7E-2</v>
      </c>
      <c r="U33" s="154">
        <f>IFERROR(INDEX('S&amp;L Capital Drawdown Schedule'!$H$11:$BE$13,MATCH($I$14,'S&amp;L Capital Drawdown Schedule'!$BI$11:$BI$13,0),MATCH(U$28,'S&amp;L Capital Drawdown Schedule'!$H$8:$BE$8,0)),0)</f>
        <v>2.7956589232926612E-2</v>
      </c>
      <c r="V33" s="154">
        <f>IFERROR(INDEX('S&amp;L Capital Drawdown Schedule'!$H$11:$BE$13,MATCH($I$14,'S&amp;L Capital Drawdown Schedule'!$BI$11:$BI$13,0),MATCH(V$28,'S&amp;L Capital Drawdown Schedule'!$H$8:$BE$8,0)),0)</f>
        <v>2.7956589232926612E-2</v>
      </c>
      <c r="W33" s="154">
        <f>IFERROR(INDEX('S&amp;L Capital Drawdown Schedule'!$H$11:$BE$13,MATCH($I$14,'S&amp;L Capital Drawdown Schedule'!$BI$11:$BI$13,0),MATCH(W$28,'S&amp;L Capital Drawdown Schedule'!$H$8:$BE$8,0)),0)</f>
        <v>2.7956589232926612E-2</v>
      </c>
      <c r="X33" s="154">
        <f>IFERROR(INDEX('S&amp;L Capital Drawdown Schedule'!$H$11:$BE$13,MATCH($I$14,'S&amp;L Capital Drawdown Schedule'!$BI$11:$BI$13,0),MATCH(X$28,'S&amp;L Capital Drawdown Schedule'!$H$8:$BE$8,0)),0)</f>
        <v>2.9222029686510984E-2</v>
      </c>
      <c r="Y33" s="154">
        <f>IFERROR(INDEX('S&amp;L Capital Drawdown Schedule'!$H$11:$BE$13,MATCH($I$14,'S&amp;L Capital Drawdown Schedule'!$BI$11:$BI$13,0),MATCH(Y$28,'S&amp;L Capital Drawdown Schedule'!$H$8:$BE$8,0)),0)</f>
        <v>2.7578334924178143E-2</v>
      </c>
      <c r="Z33" s="154">
        <f>IFERROR(INDEX('S&amp;L Capital Drawdown Schedule'!$H$11:$BE$13,MATCH($I$14,'S&amp;L Capital Drawdown Schedule'!$BI$11:$BI$13,0),MATCH(Z$28,'S&amp;L Capital Drawdown Schedule'!$H$8:$BE$8,0)),0)</f>
        <v>2.5195417609389571E-2</v>
      </c>
      <c r="AA33" s="154">
        <f>IFERROR(INDEX('S&amp;L Capital Drawdown Schedule'!$H$11:$BE$13,MATCH($I$14,'S&amp;L Capital Drawdown Schedule'!$BI$11:$BI$13,0),MATCH(AA$28,'S&amp;L Capital Drawdown Schedule'!$H$8:$BE$8,0)),0)</f>
        <v>2.4669199708260942E-2</v>
      </c>
      <c r="AB33" s="154">
        <f>IFERROR(INDEX('S&amp;L Capital Drawdown Schedule'!$H$11:$BE$13,MATCH($I$14,'S&amp;L Capital Drawdown Schedule'!$BI$11:$BI$13,0),MATCH(AB$28,'S&amp;L Capital Drawdown Schedule'!$H$8:$BE$8,0)),0)</f>
        <v>2.4669199708260942E-2</v>
      </c>
      <c r="AC33" s="154">
        <f>IFERROR(INDEX('S&amp;L Capital Drawdown Schedule'!$H$11:$BE$13,MATCH($I$14,'S&amp;L Capital Drawdown Schedule'!$BI$11:$BI$13,0),MATCH(AC$28,'S&amp;L Capital Drawdown Schedule'!$H$8:$BE$8,0)),0)</f>
        <v>2.1760064492343734E-2</v>
      </c>
      <c r="AD33" s="154">
        <f>IFERROR(INDEX('S&amp;L Capital Drawdown Schedule'!$H$11:$BE$13,MATCH($I$14,'S&amp;L Capital Drawdown Schedule'!$BI$11:$BI$13,0),MATCH(AD$28,'S&amp;L Capital Drawdown Schedule'!$H$8:$BE$8,0)),0)</f>
        <v>2.1760064492343734E-2</v>
      </c>
      <c r="AE33" s="154">
        <f>IFERROR(INDEX('S&amp;L Capital Drawdown Schedule'!$H$11:$BE$13,MATCH($I$14,'S&amp;L Capital Drawdown Schedule'!$BI$11:$BI$13,0),MATCH(AE$28,'S&amp;L Capital Drawdown Schedule'!$H$8:$BE$8,0)),0)</f>
        <v>2.1760064492343734E-2</v>
      </c>
      <c r="AF33" s="154">
        <f>IFERROR(INDEX('S&amp;L Capital Drawdown Schedule'!$H$11:$BE$13,MATCH($I$14,'S&amp;L Capital Drawdown Schedule'!$BI$11:$BI$13,0),MATCH(AF$28,'S&amp;L Capital Drawdown Schedule'!$H$8:$BE$8,0)),0)</f>
        <v>2.1999999999999999E-2</v>
      </c>
      <c r="AG33" s="154">
        <f>IFERROR(INDEX('S&amp;L Capital Drawdown Schedule'!$H$11:$BE$13,MATCH($I$14,'S&amp;L Capital Drawdown Schedule'!$BI$11:$BI$13,0),MATCH(AG$28,'S&amp;L Capital Drawdown Schedule'!$H$8:$BE$8,0)),0)</f>
        <v>2.0494624038759374E-2</v>
      </c>
      <c r="AH33" s="154">
        <f>IFERROR(INDEX('S&amp;L Capital Drawdown Schedule'!$H$11:$BE$13,MATCH($I$14,'S&amp;L Capital Drawdown Schedule'!$BI$11:$BI$13,0),MATCH(AH$28,'S&amp;L Capital Drawdown Schedule'!$H$8:$BE$8,0)),0)</f>
        <v>2.0494624038759374E-2</v>
      </c>
      <c r="AI33" s="154">
        <f>IFERROR(INDEX('S&amp;L Capital Drawdown Schedule'!$H$11:$BE$13,MATCH($I$14,'S&amp;L Capital Drawdown Schedule'!$BI$11:$BI$13,0),MATCH(AI$28,'S&amp;L Capital Drawdown Schedule'!$H$8:$BE$8,0)),0)</f>
        <v>1.9229183585175006E-2</v>
      </c>
      <c r="AJ33" s="154">
        <f>IFERROR(INDEX('S&amp;L Capital Drawdown Schedule'!$H$11:$BE$13,MATCH($I$14,'S&amp;L Capital Drawdown Schedule'!$BI$11:$BI$13,0),MATCH(AJ$28,'S&amp;L Capital Drawdown Schedule'!$H$8:$BE$8,0)),0)</f>
        <v>1.7963743131590642E-2</v>
      </c>
      <c r="AK33" s="154">
        <f>IFERROR(INDEX('S&amp;L Capital Drawdown Schedule'!$H$11:$BE$13,MATCH($I$14,'S&amp;L Capital Drawdown Schedule'!$BI$11:$BI$13,0),MATCH(AK$28,'S&amp;L Capital Drawdown Schedule'!$H$8:$BE$8,0)),0)</f>
        <v>1.2145472699756237E-2</v>
      </c>
      <c r="AL33" s="154">
        <f>IFERROR(INDEX('S&amp;L Capital Drawdown Schedule'!$H$11:$BE$13,MATCH($I$14,'S&amp;L Capital Drawdown Schedule'!$BI$11:$BI$13,0),MATCH(AL$28,'S&amp;L Capital Drawdown Schedule'!$H$8:$BE$8,0)),0)</f>
        <v>1.0999999999999999E-2</v>
      </c>
      <c r="AM33" s="154">
        <f>IFERROR(INDEX('S&amp;L Capital Drawdown Schedule'!$H$11:$BE$13,MATCH($I$14,'S&amp;L Capital Drawdown Schedule'!$BI$11:$BI$13,0),MATCH(AM$28,'S&amp;L Capital Drawdown Schedule'!$H$8:$BE$8,0)),0)</f>
        <v>1.0999999999999999E-2</v>
      </c>
      <c r="AN33" s="154">
        <f>IFERROR(INDEX('S&amp;L Capital Drawdown Schedule'!$H$11:$BE$13,MATCH($I$14,'S&amp;L Capital Drawdown Schedule'!$BI$11:$BI$13,0),MATCH(AN$28,'S&amp;L Capital Drawdown Schedule'!$H$8:$BE$8,0)),0)</f>
        <v>1.0999999999999999E-2</v>
      </c>
      <c r="AO33" s="154">
        <f>IFERROR(INDEX('S&amp;L Capital Drawdown Schedule'!$H$11:$BE$13,MATCH($I$14,'S&amp;L Capital Drawdown Schedule'!$BI$11:$BI$13,0),MATCH(AO$28,'S&amp;L Capital Drawdown Schedule'!$H$8:$BE$8,0)),0)</f>
        <v>0.01</v>
      </c>
      <c r="AP33" s="154">
        <f>IFERROR(INDEX('S&amp;L Capital Drawdown Schedule'!$H$11:$BE$13,MATCH($I$14,'S&amp;L Capital Drawdown Schedule'!$BI$11:$BI$13,0),MATCH(AP$28,'S&amp;L Capital Drawdown Schedule'!$H$8:$BE$8,0)),0)</f>
        <v>0.01</v>
      </c>
      <c r="AQ33" s="154">
        <f>IFERROR(INDEX('S&amp;L Capital Drawdown Schedule'!$H$11:$BE$13,MATCH($I$14,'S&amp;L Capital Drawdown Schedule'!$BI$11:$BI$13,0),MATCH(AQ$28,'S&amp;L Capital Drawdown Schedule'!$H$8:$BE$8,0)),0)</f>
        <v>0.01</v>
      </c>
      <c r="AR33" s="154">
        <f>IFERROR(INDEX('S&amp;L Capital Drawdown Schedule'!$H$11:$BE$13,MATCH($I$14,'S&amp;L Capital Drawdown Schedule'!$BI$11:$BI$13,0),MATCH(AR$28,'S&amp;L Capital Drawdown Schedule'!$H$8:$BE$8,0)),0)</f>
        <v>8.9999999999999993E-3</v>
      </c>
      <c r="AS33" s="154">
        <f>IFERROR(INDEX('S&amp;L Capital Drawdown Schedule'!$H$11:$BE$13,MATCH($I$14,'S&amp;L Capital Drawdown Schedule'!$BI$11:$BI$13,0),MATCH(AS$28,'S&amp;L Capital Drawdown Schedule'!$H$8:$BE$8,0)),0)</f>
        <v>8.9999999999999993E-3</v>
      </c>
      <c r="AT33" s="154">
        <f>IFERROR(INDEX('S&amp;L Capital Drawdown Schedule'!$H$11:$BE$13,MATCH($I$14,'S&amp;L Capital Drawdown Schedule'!$BI$11:$BI$13,0),MATCH(AT$28,'S&amp;L Capital Drawdown Schedule'!$H$8:$BE$8,0)),0)</f>
        <v>8.9999999999999993E-3</v>
      </c>
      <c r="AU33" s="154">
        <f>IFERROR(INDEX('S&amp;L Capital Drawdown Schedule'!$H$11:$BE$13,MATCH($I$14,'S&amp;L Capital Drawdown Schedule'!$BI$11:$BI$13,0),MATCH(AU$28,'S&amp;L Capital Drawdown Schedule'!$H$8:$BE$8,0)),0)</f>
        <v>8.0000000000000002E-3</v>
      </c>
      <c r="AV33" s="154">
        <f>IFERROR(INDEX('S&amp;L Capital Drawdown Schedule'!$H$11:$BE$13,MATCH($I$14,'S&amp;L Capital Drawdown Schedule'!$BI$11:$BI$13,0),MATCH(AV$28,'S&amp;L Capital Drawdown Schedule'!$H$8:$BE$8,0)),0)</f>
        <v>8.0000000000000002E-3</v>
      </c>
      <c r="AW33" s="154">
        <f>IFERROR(INDEX('S&amp;L Capital Drawdown Schedule'!$H$11:$BE$13,MATCH($I$14,'S&amp;L Capital Drawdown Schedule'!$BI$11:$BI$13,0),MATCH(AW$28,'S&amp;L Capital Drawdown Schedule'!$H$8:$BE$8,0)),0)</f>
        <v>8.0000000000000002E-3</v>
      </c>
      <c r="AX33" s="154">
        <f>IFERROR(INDEX('S&amp;L Capital Drawdown Schedule'!$H$11:$BE$13,MATCH($I$14,'S&amp;L Capital Drawdown Schedule'!$BI$11:$BI$13,0),MATCH(AX$28,'S&amp;L Capital Drawdown Schedule'!$H$8:$BE$8,0)),0)</f>
        <v>7.0000000000000001E-3</v>
      </c>
      <c r="AY33" s="154">
        <f>IFERROR(INDEX('S&amp;L Capital Drawdown Schedule'!$H$11:$BE$13,MATCH($I$14,'S&amp;L Capital Drawdown Schedule'!$BI$11:$BI$13,0),MATCH(AY$28,'S&amp;L Capital Drawdown Schedule'!$H$8:$BE$8,0)),0)</f>
        <v>7.0000000000000001E-3</v>
      </c>
      <c r="AZ33" s="154">
        <f>IFERROR(INDEX('S&amp;L Capital Drawdown Schedule'!$H$11:$BE$13,MATCH($I$14,'S&amp;L Capital Drawdown Schedule'!$BI$11:$BI$13,0),MATCH(AZ$28,'S&amp;L Capital Drawdown Schedule'!$H$8:$BE$8,0)),0)</f>
        <v>7.0000000000000001E-3</v>
      </c>
      <c r="BA33" s="154">
        <f>IFERROR(INDEX('S&amp;L Capital Drawdown Schedule'!$H$11:$BE$13,MATCH($I$14,'S&amp;L Capital Drawdown Schedule'!$BI$11:$BI$13,0),MATCH(BA$28,'S&amp;L Capital Drawdown Schedule'!$H$8:$BE$8,0)),0)</f>
        <v>7.0000000000000001E-3</v>
      </c>
      <c r="BB33" s="154">
        <f>IFERROR(INDEX('S&amp;L Capital Drawdown Schedule'!$H$11:$BE$13,MATCH($I$14,'S&amp;L Capital Drawdown Schedule'!$BI$11:$BI$13,0),MATCH(BB$28,'S&amp;L Capital Drawdown Schedule'!$H$8:$BE$8,0)),0)</f>
        <v>7.0000000000000001E-3</v>
      </c>
      <c r="BC33" s="154">
        <f>IFERROR(INDEX('S&amp;L Capital Drawdown Schedule'!$H$11:$BE$13,MATCH($I$14,'S&amp;L Capital Drawdown Schedule'!$BI$11:$BI$13,0),MATCH(BC$28,'S&amp;L Capital Drawdown Schedule'!$H$8:$BE$8,0)),0)</f>
        <v>7.0000000000000001E-3</v>
      </c>
      <c r="BD33" s="154">
        <f>IFERROR(INDEX('S&amp;L Capital Drawdown Schedule'!$H$11:$BE$13,MATCH($I$14,'S&amp;L Capital Drawdown Schedule'!$BI$11:$BI$13,0),MATCH(BD$28,'S&amp;L Capital Drawdown Schedule'!$H$8:$BE$8,0)),0)</f>
        <v>6.0000000000000001E-3</v>
      </c>
      <c r="BE33" s="154">
        <f>IFERROR(INDEX('S&amp;L Capital Drawdown Schedule'!$H$11:$BE$13,MATCH($I$14,'S&amp;L Capital Drawdown Schedule'!$BI$11:$BI$13,0),MATCH(BE$28,'S&amp;L Capital Drawdown Schedule'!$H$8:$BE$8,0)),0)</f>
        <v>6.0000000000000001E-3</v>
      </c>
      <c r="BF33" s="154">
        <f>IFERROR(INDEX('S&amp;L Capital Drawdown Schedule'!$H$11:$BE$13,MATCH($I$14,'S&amp;L Capital Drawdown Schedule'!$BI$11:$BI$13,0),MATCH(BF$28,'S&amp;L Capital Drawdown Schedule'!$H$8:$BE$8,0)),0)</f>
        <v>0.04</v>
      </c>
      <c r="BH33" s="219"/>
    </row>
    <row r="34" spans="1:60" s="152" customFormat="1" ht="15" customHeight="1" x14ac:dyDescent="0.35">
      <c r="A34" s="151">
        <f>MAX($A$7:A33)+1</f>
        <v>17</v>
      </c>
      <c r="D34" s="226" t="s">
        <v>57</v>
      </c>
      <c r="E34" s="152" t="s">
        <v>259</v>
      </c>
      <c r="F34" s="213" t="str">
        <f t="shared" si="5"/>
        <v>[17]</v>
      </c>
      <c r="G34" s="230" t="str">
        <f>$F$16&amp;" x "&amp;$F$33</f>
        <v>[7] x [16]</v>
      </c>
      <c r="H34" s="157"/>
      <c r="I34" s="153">
        <f>$I$16*I$33</f>
        <v>42827198.657835789</v>
      </c>
      <c r="J34" s="153">
        <f t="shared" ref="J34:BF34" si="6">$I$16*J$33</f>
        <v>42198123.67377682</v>
      </c>
      <c r="K34" s="153">
        <f t="shared" si="6"/>
        <v>36226961.702416867</v>
      </c>
      <c r="L34" s="153">
        <f t="shared" si="6"/>
        <v>141393188.30849284</v>
      </c>
      <c r="M34" s="153">
        <f t="shared" si="6"/>
        <v>63233478.03251081</v>
      </c>
      <c r="N34" s="153">
        <f t="shared" si="6"/>
        <v>36226961.702416867</v>
      </c>
      <c r="O34" s="153">
        <f t="shared" si="6"/>
        <v>99434523.333635196</v>
      </c>
      <c r="P34" s="153">
        <f t="shared" si="6"/>
        <v>57278871.311961338</v>
      </c>
      <c r="Q34" s="153">
        <f t="shared" si="6"/>
        <v>57278871.311961338</v>
      </c>
      <c r="R34" s="153">
        <f t="shared" si="6"/>
        <v>49032111.448977351</v>
      </c>
      <c r="S34" s="153">
        <f t="shared" si="6"/>
        <v>49032111.448977351</v>
      </c>
      <c r="T34" s="153">
        <f t="shared" si="6"/>
        <v>48906398.298262775</v>
      </c>
      <c r="U34" s="153">
        <f t="shared" si="6"/>
        <v>50639114.373571604</v>
      </c>
      <c r="V34" s="153">
        <f t="shared" si="6"/>
        <v>50639114.373571604</v>
      </c>
      <c r="W34" s="153">
        <f t="shared" si="6"/>
        <v>50639114.373571604</v>
      </c>
      <c r="X34" s="153">
        <f t="shared" si="6"/>
        <v>52931267.516006112</v>
      </c>
      <c r="Y34" s="153">
        <f t="shared" si="6"/>
        <v>49953964.155731358</v>
      </c>
      <c r="Z34" s="153">
        <f t="shared" si="6"/>
        <v>45637671.440587781</v>
      </c>
      <c r="AA34" s="153">
        <f t="shared" si="6"/>
        <v>44684507.653022125</v>
      </c>
      <c r="AB34" s="153">
        <f t="shared" si="6"/>
        <v>44684507.653022125</v>
      </c>
      <c r="AC34" s="153">
        <f t="shared" si="6"/>
        <v>39415051.150312878</v>
      </c>
      <c r="AD34" s="153">
        <f t="shared" si="6"/>
        <v>39415051.150312878</v>
      </c>
      <c r="AE34" s="153">
        <f t="shared" si="6"/>
        <v>39415051.150312878</v>
      </c>
      <c r="AF34" s="153">
        <f t="shared" si="6"/>
        <v>39849657.872658551</v>
      </c>
      <c r="AG34" s="153">
        <f t="shared" si="6"/>
        <v>37122898.0078784</v>
      </c>
      <c r="AH34" s="153">
        <f t="shared" si="6"/>
        <v>37122898.0078784</v>
      </c>
      <c r="AI34" s="153">
        <f t="shared" si="6"/>
        <v>34830744.8654439</v>
      </c>
      <c r="AJ34" s="153">
        <f t="shared" si="6"/>
        <v>32538591.723009411</v>
      </c>
      <c r="AK34" s="153">
        <f t="shared" si="6"/>
        <v>21999678.717590939</v>
      </c>
      <c r="AL34" s="153">
        <f t="shared" si="6"/>
        <v>19924828.936329275</v>
      </c>
      <c r="AM34" s="153">
        <f t="shared" si="6"/>
        <v>19924828.936329275</v>
      </c>
      <c r="AN34" s="153">
        <f t="shared" si="6"/>
        <v>19924828.936329275</v>
      </c>
      <c r="AO34" s="153">
        <f t="shared" si="6"/>
        <v>18113480.851208434</v>
      </c>
      <c r="AP34" s="153">
        <f t="shared" si="6"/>
        <v>18113480.851208434</v>
      </c>
      <c r="AQ34" s="153">
        <f t="shared" si="6"/>
        <v>18113480.851208434</v>
      </c>
      <c r="AR34" s="153">
        <f t="shared" si="6"/>
        <v>16302132.76608759</v>
      </c>
      <c r="AS34" s="153">
        <f t="shared" si="6"/>
        <v>16302132.76608759</v>
      </c>
      <c r="AT34" s="153">
        <f t="shared" si="6"/>
        <v>16302132.76608759</v>
      </c>
      <c r="AU34" s="153">
        <f t="shared" si="6"/>
        <v>14490784.680966748</v>
      </c>
      <c r="AV34" s="153">
        <f t="shared" si="6"/>
        <v>14490784.680966748</v>
      </c>
      <c r="AW34" s="153">
        <f t="shared" si="6"/>
        <v>14490784.680966748</v>
      </c>
      <c r="AX34" s="153">
        <f t="shared" si="6"/>
        <v>12679436.595845904</v>
      </c>
      <c r="AY34" s="153">
        <f t="shared" si="6"/>
        <v>12679436.595845904</v>
      </c>
      <c r="AZ34" s="153">
        <f t="shared" si="6"/>
        <v>12679436.595845904</v>
      </c>
      <c r="BA34" s="153">
        <f t="shared" si="6"/>
        <v>12679436.595845904</v>
      </c>
      <c r="BB34" s="153">
        <f t="shared" si="6"/>
        <v>12679436.595845904</v>
      </c>
      <c r="BC34" s="153">
        <f t="shared" si="6"/>
        <v>12679436.595845904</v>
      </c>
      <c r="BD34" s="153">
        <f t="shared" si="6"/>
        <v>10868088.51072506</v>
      </c>
      <c r="BE34" s="153">
        <f t="shared" si="6"/>
        <v>10868088.51072506</v>
      </c>
      <c r="BF34" s="153">
        <f t="shared" si="6"/>
        <v>72453923.404833734</v>
      </c>
      <c r="BH34" s="214"/>
    </row>
    <row r="35" spans="1:60" s="152" customFormat="1" ht="15" customHeight="1" x14ac:dyDescent="0.35">
      <c r="A35" s="151">
        <f>MAX($A$7:A34)+1</f>
        <v>18</v>
      </c>
      <c r="C35" s="151"/>
      <c r="D35" s="215" t="s">
        <v>239</v>
      </c>
      <c r="E35" s="152" t="s">
        <v>259</v>
      </c>
      <c r="F35" s="225" t="str">
        <f t="shared" si="5"/>
        <v>[18]</v>
      </c>
      <c r="G35" s="230" t="str">
        <f>$F$17&amp;" x "&amp;$F$33</f>
        <v>[8] x [16]</v>
      </c>
      <c r="H35" s="230"/>
      <c r="I35" s="153">
        <f>$I$17*I33</f>
        <v>62110.36252639148</v>
      </c>
      <c r="J35" s="153">
        <f t="shared" ref="J35:BF35" si="7">$I$17*J33</f>
        <v>61198.043333433066</v>
      </c>
      <c r="K35" s="153">
        <f t="shared" si="7"/>
        <v>52538.335335531745</v>
      </c>
      <c r="L35" s="153">
        <f t="shared" si="7"/>
        <v>205056.18998724892</v>
      </c>
      <c r="M35" s="153">
        <f t="shared" si="7"/>
        <v>91704.672906157488</v>
      </c>
      <c r="N35" s="153">
        <f t="shared" si="7"/>
        <v>52538.335335531745</v>
      </c>
      <c r="O35" s="153">
        <f t="shared" si="7"/>
        <v>144205.42284899252</v>
      </c>
      <c r="P35" s="153">
        <f t="shared" si="7"/>
        <v>83068.974244887533</v>
      </c>
      <c r="Q35" s="153">
        <f t="shared" si="7"/>
        <v>83068.974244887533</v>
      </c>
      <c r="R35" s="153">
        <f t="shared" si="7"/>
        <v>71109.068838739404</v>
      </c>
      <c r="S35" s="153">
        <f t="shared" si="7"/>
        <v>71109.068838739404</v>
      </c>
      <c r="T35" s="153">
        <f t="shared" si="7"/>
        <v>70926.75270296786</v>
      </c>
      <c r="U35" s="153">
        <f t="shared" si="7"/>
        <v>73439.632997860725</v>
      </c>
      <c r="V35" s="153">
        <f t="shared" si="7"/>
        <v>73439.632997860725</v>
      </c>
      <c r="W35" s="153">
        <f t="shared" si="7"/>
        <v>73439.632997860725</v>
      </c>
      <c r="X35" s="153">
        <f t="shared" si="7"/>
        <v>76763.839742738885</v>
      </c>
      <c r="Y35" s="153">
        <f t="shared" si="7"/>
        <v>72445.990412103885</v>
      </c>
      <c r="Z35" s="153">
        <f t="shared" si="7"/>
        <v>66186.264964043541</v>
      </c>
      <c r="AA35" s="153">
        <f t="shared" si="7"/>
        <v>64803.93433659077</v>
      </c>
      <c r="AB35" s="153">
        <f t="shared" si="7"/>
        <v>64803.93433659077</v>
      </c>
      <c r="AC35" s="153">
        <f t="shared" si="7"/>
        <v>57161.878261077625</v>
      </c>
      <c r="AD35" s="153">
        <f t="shared" si="7"/>
        <v>57161.878261077625</v>
      </c>
      <c r="AE35" s="153">
        <f t="shared" si="7"/>
        <v>57161.878261077625</v>
      </c>
      <c r="AF35" s="153">
        <f t="shared" si="7"/>
        <v>57792.168869084919</v>
      </c>
      <c r="AG35" s="153">
        <f t="shared" si="7"/>
        <v>53837.671516199502</v>
      </c>
      <c r="AH35" s="153">
        <f t="shared" si="7"/>
        <v>53837.671516199502</v>
      </c>
      <c r="AI35" s="153">
        <f t="shared" si="7"/>
        <v>50513.464771321356</v>
      </c>
      <c r="AJ35" s="153">
        <f t="shared" si="7"/>
        <v>47189.258026443218</v>
      </c>
      <c r="AK35" s="153">
        <f t="shared" si="7"/>
        <v>31905.145875416962</v>
      </c>
      <c r="AL35" s="153">
        <f t="shared" si="7"/>
        <v>28896.084434542459</v>
      </c>
      <c r="AM35" s="153">
        <f t="shared" si="7"/>
        <v>28896.084434542459</v>
      </c>
      <c r="AN35" s="153">
        <f t="shared" si="7"/>
        <v>28896.084434542459</v>
      </c>
      <c r="AO35" s="153">
        <f t="shared" si="7"/>
        <v>26269.167667765872</v>
      </c>
      <c r="AP35" s="153">
        <f t="shared" si="7"/>
        <v>26269.167667765872</v>
      </c>
      <c r="AQ35" s="153">
        <f t="shared" si="7"/>
        <v>26269.167667765872</v>
      </c>
      <c r="AR35" s="153">
        <f t="shared" si="7"/>
        <v>23642.250900989286</v>
      </c>
      <c r="AS35" s="153">
        <f t="shared" si="7"/>
        <v>23642.250900989286</v>
      </c>
      <c r="AT35" s="153">
        <f t="shared" si="7"/>
        <v>23642.250900989286</v>
      </c>
      <c r="AU35" s="153">
        <f t="shared" si="7"/>
        <v>21015.334134212699</v>
      </c>
      <c r="AV35" s="153">
        <f t="shared" si="7"/>
        <v>21015.334134212699</v>
      </c>
      <c r="AW35" s="153">
        <f t="shared" si="7"/>
        <v>21015.334134212699</v>
      </c>
      <c r="AX35" s="153">
        <f t="shared" si="7"/>
        <v>18388.417367436112</v>
      </c>
      <c r="AY35" s="153">
        <f t="shared" si="7"/>
        <v>18388.417367436112</v>
      </c>
      <c r="AZ35" s="153">
        <f t="shared" si="7"/>
        <v>18388.417367436112</v>
      </c>
      <c r="BA35" s="153">
        <f t="shared" si="7"/>
        <v>18388.417367436112</v>
      </c>
      <c r="BB35" s="153">
        <f t="shared" si="7"/>
        <v>18388.417367436112</v>
      </c>
      <c r="BC35" s="153">
        <f t="shared" si="7"/>
        <v>18388.417367436112</v>
      </c>
      <c r="BD35" s="153">
        <f t="shared" si="7"/>
        <v>15761.500600659525</v>
      </c>
      <c r="BE35" s="153">
        <f t="shared" si="7"/>
        <v>15761.500600659525</v>
      </c>
      <c r="BF35" s="153">
        <f t="shared" si="7"/>
        <v>105076.67067106349</v>
      </c>
      <c r="BH35" s="214"/>
    </row>
    <row r="36" spans="1:60" s="152" customFormat="1" ht="15" customHeight="1" x14ac:dyDescent="0.35">
      <c r="A36" s="151">
        <f>MAX($A$7:A35)+1</f>
        <v>19</v>
      </c>
      <c r="C36" s="151"/>
      <c r="D36" s="215" t="s">
        <v>20</v>
      </c>
      <c r="E36" s="152" t="s">
        <v>259</v>
      </c>
      <c r="F36" s="225" t="str">
        <f t="shared" si="5"/>
        <v>[19]</v>
      </c>
      <c r="G36" s="230" t="s">
        <v>39</v>
      </c>
      <c r="H36" s="230"/>
      <c r="I36" s="153">
        <f t="shared" ref="I36:AN36" si="8">IF(I$28&lt;=$I$11, $I$21*$I24*H38,0)</f>
        <v>0</v>
      </c>
      <c r="J36" s="153">
        <f t="shared" si="8"/>
        <v>110769.21859894544</v>
      </c>
      <c r="K36" s="153">
        <f t="shared" si="8"/>
        <v>220198.29574055396</v>
      </c>
      <c r="L36" s="153">
        <f t="shared" si="8"/>
        <v>314466.86768776097</v>
      </c>
      <c r="M36" s="153">
        <f t="shared" si="8"/>
        <v>680983.87827323319</v>
      </c>
      <c r="N36" s="153">
        <f t="shared" si="8"/>
        <v>846296.22135204647</v>
      </c>
      <c r="O36" s="153">
        <f t="shared" si="8"/>
        <v>942186.49877797242</v>
      </c>
      <c r="P36" s="153">
        <f t="shared" si="8"/>
        <v>1201806.5915740991</v>
      </c>
      <c r="Q36" s="153">
        <f t="shared" si="8"/>
        <v>1353066.8313396701</v>
      </c>
      <c r="R36" s="153">
        <f t="shared" si="8"/>
        <v>1504718.8621486321</v>
      </c>
      <c r="S36" s="153">
        <f t="shared" si="8"/>
        <v>1635434.0957859142</v>
      </c>
      <c r="T36" s="153">
        <f t="shared" si="8"/>
        <v>1766487.9052303825</v>
      </c>
      <c r="U36" s="153">
        <f t="shared" si="8"/>
        <v>1897556.0201664234</v>
      </c>
      <c r="V36" s="153">
        <f t="shared" si="8"/>
        <v>2033445.1603083543</v>
      </c>
      <c r="W36" s="153">
        <f t="shared" si="8"/>
        <v>2169686.2775996285</v>
      </c>
      <c r="X36" s="153">
        <f t="shared" si="8"/>
        <v>2306280.2837239434</v>
      </c>
      <c r="Y36" s="153">
        <f t="shared" si="8"/>
        <v>2449156.5685654553</v>
      </c>
      <c r="Z36" s="153">
        <f t="shared" si="8"/>
        <v>2584702.36491691</v>
      </c>
      <c r="AA36" s="153">
        <f t="shared" si="8"/>
        <v>2709435.4936721949</v>
      </c>
      <c r="AB36" s="153">
        <f t="shared" si="8"/>
        <v>2832026.4195066355</v>
      </c>
      <c r="AC36" s="153">
        <f t="shared" si="8"/>
        <v>2954934.8777396586</v>
      </c>
      <c r="AD36" s="153">
        <f t="shared" si="8"/>
        <v>3064532.6514054518</v>
      </c>
      <c r="AE36" s="153">
        <f t="shared" si="8"/>
        <v>3174414.3028845051</v>
      </c>
      <c r="AF36" s="153">
        <f t="shared" si="8"/>
        <v>3284580.5674710693</v>
      </c>
      <c r="AG36" s="153">
        <f t="shared" si="8"/>
        <v>3396156.2588513284</v>
      </c>
      <c r="AH36" s="153">
        <f t="shared" si="8"/>
        <v>3500968.3988786531</v>
      </c>
      <c r="AI36" s="153">
        <f t="shared" si="8"/>
        <v>3606052.0210731691</v>
      </c>
      <c r="AJ36" s="153">
        <f t="shared" si="8"/>
        <v>3705479.3527831519</v>
      </c>
      <c r="AK36" s="153">
        <f t="shared" si="8"/>
        <v>3799235.7432057601</v>
      </c>
      <c r="AL36" s="153">
        <f t="shared" si="8"/>
        <v>3865976.9005660885</v>
      </c>
      <c r="AM36" s="153">
        <f t="shared" si="8"/>
        <v>3927524.4918518392</v>
      </c>
      <c r="AN36" s="153">
        <f t="shared" si="8"/>
        <v>3989231.5023943982</v>
      </c>
      <c r="AO36" s="153">
        <f t="shared" ref="AO36:BF36" si="9">IF(AO$28&lt;=$I$11, $I$21*$I24*AN38,0)</f>
        <v>4051098.3451181198</v>
      </c>
      <c r="AP36" s="153">
        <f t="shared" si="9"/>
        <v>4108440.52306575</v>
      </c>
      <c r="AQ36" s="153">
        <f t="shared" si="9"/>
        <v>4165931.2274983516</v>
      </c>
      <c r="AR36" s="153">
        <f t="shared" si="9"/>
        <v>4223570.8431260558</v>
      </c>
      <c r="AS36" s="153">
        <f t="shared" si="9"/>
        <v>4276674.844704302</v>
      </c>
      <c r="AT36" s="153">
        <f t="shared" si="9"/>
        <v>4329916.3951335791</v>
      </c>
      <c r="AU36" s="153">
        <f t="shared" si="9"/>
        <v>4383295.8506899858</v>
      </c>
      <c r="AV36" s="153">
        <f t="shared" si="9"/>
        <v>4432128.6576212794</v>
      </c>
      <c r="AW36" s="153">
        <f t="shared" si="9"/>
        <v>4481087.9502464263</v>
      </c>
      <c r="AX36" s="153">
        <f t="shared" si="9"/>
        <v>4530174.056185971</v>
      </c>
      <c r="AY36" s="153">
        <f t="shared" si="9"/>
        <v>4574702.3929578951</v>
      </c>
      <c r="AZ36" s="153">
        <f t="shared" si="9"/>
        <v>4619346.0660769744</v>
      </c>
      <c r="BA36" s="153">
        <f t="shared" si="9"/>
        <v>4664105.3742849519</v>
      </c>
      <c r="BB36" s="153">
        <f t="shared" si="9"/>
        <v>4708980.6170973657</v>
      </c>
      <c r="BC36" s="153">
        <f t="shared" si="9"/>
        <v>4753972.0948055545</v>
      </c>
      <c r="BD36" s="153">
        <f t="shared" si="9"/>
        <v>4799080.1084786616</v>
      </c>
      <c r="BE36" s="153">
        <f t="shared" si="9"/>
        <v>4839620.0490144975</v>
      </c>
      <c r="BF36" s="153">
        <f t="shared" si="9"/>
        <v>4880264.9952387176</v>
      </c>
      <c r="BH36" s="214"/>
    </row>
    <row r="37" spans="1:60" s="152" customFormat="1" ht="15" customHeight="1" x14ac:dyDescent="0.35">
      <c r="A37" s="151">
        <f>MAX($A$7:A36)+1</f>
        <v>20</v>
      </c>
      <c r="D37" s="226" t="s">
        <v>58</v>
      </c>
      <c r="E37" s="152" t="s">
        <v>259</v>
      </c>
      <c r="F37" s="225" t="str">
        <f t="shared" si="5"/>
        <v>[20]</v>
      </c>
      <c r="G37" s="230" t="s">
        <v>39</v>
      </c>
      <c r="H37" s="157"/>
      <c r="I37" s="153">
        <f>I36+(I34-I35)</f>
        <v>42765088.295309395</v>
      </c>
      <c r="J37" s="156">
        <f t="shared" ref="J37:AU37" si="10">J36+(J34-J35)</f>
        <v>42247694.849042334</v>
      </c>
      <c r="K37" s="156">
        <f t="shared" si="10"/>
        <v>36394621.662821889</v>
      </c>
      <c r="L37" s="156">
        <f t="shared" si="10"/>
        <v>141502598.98619336</v>
      </c>
      <c r="M37" s="156">
        <f t="shared" si="10"/>
        <v>63822757.237877883</v>
      </c>
      <c r="N37" s="156">
        <f t="shared" si="10"/>
        <v>37020719.588433385</v>
      </c>
      <c r="O37" s="156">
        <f t="shared" si="10"/>
        <v>100232504.40956417</v>
      </c>
      <c r="P37" s="156">
        <f t="shared" si="10"/>
        <v>58397608.929290555</v>
      </c>
      <c r="Q37" s="156">
        <f t="shared" si="10"/>
        <v>58548869.169056125</v>
      </c>
      <c r="R37" s="156">
        <f t="shared" si="10"/>
        <v>50465721.242287248</v>
      </c>
      <c r="S37" s="156">
        <f t="shared" si="10"/>
        <v>50596436.475924529</v>
      </c>
      <c r="T37" s="156">
        <f t="shared" si="10"/>
        <v>50601959.450790189</v>
      </c>
      <c r="U37" s="156">
        <f t="shared" si="10"/>
        <v>52463230.760740168</v>
      </c>
      <c r="V37" s="156">
        <f t="shared" si="10"/>
        <v>52599119.900882095</v>
      </c>
      <c r="W37" s="156">
        <f t="shared" si="10"/>
        <v>52735361.018173367</v>
      </c>
      <c r="X37" s="156">
        <f t="shared" si="10"/>
        <v>55160783.959987313</v>
      </c>
      <c r="Y37" s="156">
        <f t="shared" si="10"/>
        <v>52330674.733884715</v>
      </c>
      <c r="Z37" s="156">
        <f t="shared" si="10"/>
        <v>48156187.54054065</v>
      </c>
      <c r="AA37" s="156">
        <f t="shared" si="10"/>
        <v>47329139.21235773</v>
      </c>
      <c r="AB37" s="156">
        <f t="shared" si="10"/>
        <v>47451730.138192177</v>
      </c>
      <c r="AC37" s="156">
        <f t="shared" si="10"/>
        <v>42312824.149791464</v>
      </c>
      <c r="AD37" s="156">
        <f t="shared" si="10"/>
        <v>42422421.923457257</v>
      </c>
      <c r="AE37" s="156">
        <f t="shared" si="10"/>
        <v>42532303.574936308</v>
      </c>
      <c r="AF37" s="156">
        <f t="shared" si="10"/>
        <v>43076446.271260537</v>
      </c>
      <c r="AG37" s="156">
        <f t="shared" si="10"/>
        <v>40465216.595213525</v>
      </c>
      <c r="AH37" s="156">
        <f t="shared" si="10"/>
        <v>40570028.735240854</v>
      </c>
      <c r="AI37" s="156">
        <f t="shared" si="10"/>
        <v>38386283.421745747</v>
      </c>
      <c r="AJ37" s="156">
        <f t="shared" si="10"/>
        <v>36196881.817766123</v>
      </c>
      <c r="AK37" s="156">
        <f t="shared" si="10"/>
        <v>25767009.314921282</v>
      </c>
      <c r="AL37" s="156">
        <f t="shared" si="10"/>
        <v>23761909.752460822</v>
      </c>
      <c r="AM37" s="156">
        <f t="shared" si="10"/>
        <v>23823457.343746573</v>
      </c>
      <c r="AN37" s="156">
        <f t="shared" si="10"/>
        <v>23885164.354289129</v>
      </c>
      <c r="AO37" s="156">
        <f t="shared" si="10"/>
        <v>22138310.028658789</v>
      </c>
      <c r="AP37" s="156">
        <f t="shared" si="10"/>
        <v>22195652.206606418</v>
      </c>
      <c r="AQ37" s="156">
        <f t="shared" si="10"/>
        <v>22253142.911039021</v>
      </c>
      <c r="AR37" s="156">
        <f t="shared" si="10"/>
        <v>20502061.358312655</v>
      </c>
      <c r="AS37" s="156">
        <f t="shared" si="10"/>
        <v>20555165.359890901</v>
      </c>
      <c r="AT37" s="156">
        <f t="shared" si="10"/>
        <v>20608406.910320178</v>
      </c>
      <c r="AU37" s="156">
        <f t="shared" si="10"/>
        <v>18853065.197522521</v>
      </c>
      <c r="AV37" s="156">
        <f t="shared" ref="AV37:BF37" si="11">AV36+(AV34-AV35)</f>
        <v>18901898.004453816</v>
      </c>
      <c r="AW37" s="156">
        <f t="shared" si="11"/>
        <v>18950857.29707896</v>
      </c>
      <c r="AX37" s="156">
        <f t="shared" si="11"/>
        <v>17191222.23466444</v>
      </c>
      <c r="AY37" s="156">
        <f t="shared" si="11"/>
        <v>17235750.571436364</v>
      </c>
      <c r="AZ37" s="156">
        <f t="shared" si="11"/>
        <v>17280394.244555444</v>
      </c>
      <c r="BA37" s="156">
        <f t="shared" si="11"/>
        <v>17325153.552763421</v>
      </c>
      <c r="BB37" s="156">
        <f t="shared" si="11"/>
        <v>17370028.795575835</v>
      </c>
      <c r="BC37" s="156">
        <f t="shared" si="11"/>
        <v>17415020.273284022</v>
      </c>
      <c r="BD37" s="156">
        <f t="shared" si="11"/>
        <v>15651407.118603062</v>
      </c>
      <c r="BE37" s="156">
        <f t="shared" si="11"/>
        <v>15691947.059138898</v>
      </c>
      <c r="BF37" s="156">
        <f t="shared" si="11"/>
        <v>77229111.729401395</v>
      </c>
      <c r="BH37" s="214"/>
    </row>
    <row r="38" spans="1:60" s="152" customFormat="1" ht="15" customHeight="1" x14ac:dyDescent="0.35">
      <c r="A38" s="151">
        <f>MAX($A$7:A37)+1</f>
        <v>21</v>
      </c>
      <c r="D38" s="226" t="s">
        <v>59</v>
      </c>
      <c r="E38" s="152" t="s">
        <v>259</v>
      </c>
      <c r="F38" s="213" t="str">
        <f t="shared" si="5"/>
        <v>[21]</v>
      </c>
      <c r="G38" s="230" t="s">
        <v>39</v>
      </c>
      <c r="H38" s="157"/>
      <c r="I38" s="156">
        <f>I37+H38</f>
        <v>42765088.295309395</v>
      </c>
      <c r="J38" s="156">
        <f t="shared" ref="J38:AU38" si="12">J37+I38</f>
        <v>85012783.144351721</v>
      </c>
      <c r="K38" s="156">
        <f t="shared" si="12"/>
        <v>121407404.80717361</v>
      </c>
      <c r="L38" s="156">
        <f t="shared" si="12"/>
        <v>262910003.79336697</v>
      </c>
      <c r="M38" s="156">
        <f t="shared" si="12"/>
        <v>326732761.03124487</v>
      </c>
      <c r="N38" s="156">
        <f t="shared" si="12"/>
        <v>363753480.61967826</v>
      </c>
      <c r="O38" s="156">
        <f t="shared" si="12"/>
        <v>463985985.0292424</v>
      </c>
      <c r="P38" s="156">
        <f t="shared" si="12"/>
        <v>522383593.95853293</v>
      </c>
      <c r="Q38" s="156">
        <f t="shared" si="12"/>
        <v>580932463.12758911</v>
      </c>
      <c r="R38" s="156">
        <f t="shared" si="12"/>
        <v>631398184.36987638</v>
      </c>
      <c r="S38" s="156">
        <f t="shared" si="12"/>
        <v>681994620.84580088</v>
      </c>
      <c r="T38" s="156">
        <f t="shared" si="12"/>
        <v>732596580.29659104</v>
      </c>
      <c r="U38" s="156">
        <f t="shared" si="12"/>
        <v>785059811.0573312</v>
      </c>
      <c r="V38" s="156">
        <f t="shared" si="12"/>
        <v>837658930.95821333</v>
      </c>
      <c r="W38" s="156">
        <f t="shared" si="12"/>
        <v>890394291.97638667</v>
      </c>
      <c r="X38" s="156">
        <f t="shared" si="12"/>
        <v>945555075.93637395</v>
      </c>
      <c r="Y38" s="156">
        <f t="shared" si="12"/>
        <v>997885750.67025864</v>
      </c>
      <c r="Z38" s="156">
        <f t="shared" si="12"/>
        <v>1046041938.2107993</v>
      </c>
      <c r="AA38" s="156">
        <f t="shared" si="12"/>
        <v>1093371077.423157</v>
      </c>
      <c r="AB38" s="156">
        <f t="shared" si="12"/>
        <v>1140822807.5613492</v>
      </c>
      <c r="AC38" s="156">
        <f t="shared" si="12"/>
        <v>1183135631.7111406</v>
      </c>
      <c r="AD38" s="156">
        <f t="shared" si="12"/>
        <v>1225558053.6345978</v>
      </c>
      <c r="AE38" s="156">
        <f t="shared" si="12"/>
        <v>1268090357.2095342</v>
      </c>
      <c r="AF38" s="156">
        <f t="shared" si="12"/>
        <v>1311166803.4807947</v>
      </c>
      <c r="AG38" s="156">
        <f t="shared" si="12"/>
        <v>1351632020.0760081</v>
      </c>
      <c r="AH38" s="156">
        <f t="shared" si="12"/>
        <v>1392202048.811249</v>
      </c>
      <c r="AI38" s="156">
        <f t="shared" si="12"/>
        <v>1430588332.2329948</v>
      </c>
      <c r="AJ38" s="156">
        <f t="shared" si="12"/>
        <v>1466785214.050761</v>
      </c>
      <c r="AK38" s="156">
        <f t="shared" si="12"/>
        <v>1492552223.3656824</v>
      </c>
      <c r="AL38" s="156">
        <f t="shared" si="12"/>
        <v>1516314133.1181431</v>
      </c>
      <c r="AM38" s="156">
        <f t="shared" si="12"/>
        <v>1540137590.4618897</v>
      </c>
      <c r="AN38" s="156">
        <f t="shared" si="12"/>
        <v>1564022754.8161788</v>
      </c>
      <c r="AO38" s="156">
        <f t="shared" si="12"/>
        <v>1586161064.8448377</v>
      </c>
      <c r="AP38" s="156">
        <f t="shared" si="12"/>
        <v>1608356717.0514441</v>
      </c>
      <c r="AQ38" s="156">
        <f t="shared" si="12"/>
        <v>1630609859.9624832</v>
      </c>
      <c r="AR38" s="156">
        <f t="shared" si="12"/>
        <v>1651111921.3207958</v>
      </c>
      <c r="AS38" s="156">
        <f t="shared" si="12"/>
        <v>1671667086.6806867</v>
      </c>
      <c r="AT38" s="156">
        <f t="shared" si="12"/>
        <v>1692275493.591007</v>
      </c>
      <c r="AU38" s="156">
        <f t="shared" si="12"/>
        <v>1711128558.7885294</v>
      </c>
      <c r="AV38" s="156">
        <f t="shared" ref="AV38:BF38" si="13">AV37+AU38</f>
        <v>1730030456.7929833</v>
      </c>
      <c r="AW38" s="156">
        <f t="shared" si="13"/>
        <v>1748981314.0900621</v>
      </c>
      <c r="AX38" s="156">
        <f t="shared" si="13"/>
        <v>1766172536.3247266</v>
      </c>
      <c r="AY38" s="156">
        <f t="shared" si="13"/>
        <v>1783408286.896163</v>
      </c>
      <c r="AZ38" s="156">
        <f t="shared" si="13"/>
        <v>1800688681.1407185</v>
      </c>
      <c r="BA38" s="156">
        <f t="shared" si="13"/>
        <v>1818013834.6934819</v>
      </c>
      <c r="BB38" s="156">
        <f t="shared" si="13"/>
        <v>1835383863.4890578</v>
      </c>
      <c r="BC38" s="156">
        <f t="shared" si="13"/>
        <v>1852798883.7623417</v>
      </c>
      <c r="BD38" s="156">
        <f t="shared" si="13"/>
        <v>1868450290.8809447</v>
      </c>
      <c r="BE38" s="156">
        <f t="shared" si="13"/>
        <v>1884142237.9400837</v>
      </c>
      <c r="BF38" s="156">
        <f t="shared" si="13"/>
        <v>1961371349.6694851</v>
      </c>
      <c r="BH38" s="214"/>
    </row>
    <row r="39" spans="1:60" s="152" customFormat="1" ht="6" customHeight="1" x14ac:dyDescent="0.35">
      <c r="D39" s="155"/>
      <c r="E39" s="155"/>
      <c r="F39" s="155"/>
      <c r="G39" s="159"/>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H39" s="214"/>
    </row>
    <row r="40" spans="1:60" s="152" customFormat="1" ht="6" customHeight="1" x14ac:dyDescent="0.35">
      <c r="G40" s="313"/>
      <c r="BH40" s="214"/>
    </row>
    <row r="41" spans="1:60" s="152" customFormat="1" ht="15" customHeight="1" x14ac:dyDescent="0.35">
      <c r="D41" s="161" t="s">
        <v>241</v>
      </c>
      <c r="G41" s="313"/>
      <c r="BH41" s="214"/>
    </row>
    <row r="42" spans="1:60" s="152" customFormat="1" ht="15" customHeight="1" x14ac:dyDescent="0.35">
      <c r="A42" s="151">
        <f>MAX($A$7:A40)+1</f>
        <v>22</v>
      </c>
      <c r="D42" s="226" t="s">
        <v>3</v>
      </c>
      <c r="E42" s="152" t="s">
        <v>259</v>
      </c>
      <c r="F42" s="213" t="str">
        <f>"["&amp;A42&amp;"]"</f>
        <v>[22]</v>
      </c>
      <c r="G42" s="230" t="str">
        <f>"SUM("&amp;$F$34&amp;")"</f>
        <v>SUM([17])</v>
      </c>
      <c r="H42" s="157"/>
      <c r="I42" s="153">
        <f>SUM($I$34:$BF$34)</f>
        <v>1811348085.1208441</v>
      </c>
      <c r="BH42" s="214"/>
    </row>
    <row r="43" spans="1:60" s="152" customFormat="1" ht="15" customHeight="1" x14ac:dyDescent="0.35">
      <c r="A43" s="151">
        <f>MAX($A$7:A42)+1</f>
        <v>23</v>
      </c>
      <c r="D43" s="226" t="s">
        <v>7</v>
      </c>
      <c r="E43" s="152" t="s">
        <v>259</v>
      </c>
      <c r="F43" s="213" t="str">
        <f>"["&amp;A43&amp;"]"</f>
        <v>[23]</v>
      </c>
      <c r="G43" s="230" t="s">
        <v>39</v>
      </c>
      <c r="H43" s="157"/>
      <c r="I43" s="153">
        <f>NPV($I$23, $I$34:$BF$34)*(1+$I$23)^($I$11)</f>
        <v>2304255091.2588</v>
      </c>
      <c r="BH43" s="214"/>
    </row>
    <row r="44" spans="1:60" s="152" customFormat="1" ht="15" customHeight="1" x14ac:dyDescent="0.35">
      <c r="A44" s="151">
        <f>MAX($A$7:A43)+1</f>
        <v>24</v>
      </c>
      <c r="D44" s="215" t="s">
        <v>6</v>
      </c>
      <c r="E44" s="152" t="s">
        <v>259</v>
      </c>
      <c r="F44" s="225" t="str">
        <f>"["&amp;A44&amp;"]"</f>
        <v>[24]</v>
      </c>
      <c r="G44" s="230" t="str">
        <f>"SUM("&amp;$F$37&amp;")"</f>
        <v>SUM([20])</v>
      </c>
      <c r="H44" s="230"/>
      <c r="I44" s="153">
        <f>SUM($I$37:$BF$37)</f>
        <v>1961371349.6694851</v>
      </c>
      <c r="J44" s="153"/>
      <c r="BH44" s="214"/>
    </row>
    <row r="45" spans="1:60" ht="6" customHeight="1" thickBot="1" x14ac:dyDescent="0.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row>
    <row r="46" spans="1:60" ht="6" customHeight="1" thickTop="1" x14ac:dyDescent="0.35">
      <c r="G46" s="5"/>
      <c r="H46" s="5"/>
    </row>
    <row r="47" spans="1:60" ht="15" customHeight="1" x14ac:dyDescent="0.35">
      <c r="D47" s="5" t="s">
        <v>50</v>
      </c>
      <c r="E47" s="21"/>
    </row>
    <row r="48" spans="1:60" s="1115" customFormat="1" ht="15" customHeight="1" x14ac:dyDescent="0.35">
      <c r="D48" s="404" t="s">
        <v>679</v>
      </c>
      <c r="BH48" s="36"/>
    </row>
    <row r="49" spans="4:5" ht="15" customHeight="1" x14ac:dyDescent="0.35">
      <c r="D49" s="93" t="str">
        <f>$F16&amp;", "&amp;F17&amp;": If technology selected is CT: "&amp;'CT Capital Costs'!$D$3&amp;". If CC: "&amp;'CC Capital Costs'!$D$3&amp;". If BESS: "&amp;'BESS Capital Costs'!$D$3&amp;"."</f>
        <v>[7], [8]: If technology selected is CT: Table B6. If CC: Table B7. If BESS: Table B8.</v>
      </c>
      <c r="E49" s="21"/>
    </row>
    <row r="50" spans="4:5" ht="15" customHeight="1" x14ac:dyDescent="0.35">
      <c r="D50" s="93" t="str">
        <f>$F23&amp;": (1 + "&amp;F20&amp;")^(1/12) - 1."</f>
        <v>[12]: (1 + [9])^(1/12) - 1.</v>
      </c>
    </row>
    <row r="51" spans="4:5" ht="15" customHeight="1" x14ac:dyDescent="0.35">
      <c r="D51" s="93" t="str">
        <f>$F24&amp;": (1 + "&amp;F22&amp;")^(1/12) - 1."</f>
        <v>[13]: (1 + [11])^(1/12) - 1.</v>
      </c>
    </row>
    <row r="52" spans="4:5" ht="15" customHeight="1" x14ac:dyDescent="0.35">
      <c r="D52" s="93" t="str">
        <f>$F28&amp;": Month of construction."</f>
        <v>[14]: Month of construction.</v>
      </c>
    </row>
    <row r="53" spans="4:5" ht="15" customHeight="1" x14ac:dyDescent="0.35">
      <c r="D53" s="93" t="str">
        <f>$F29&amp;": Start date for each month of construction, starting at "&amp;F8&amp;"."</f>
        <v>[15]: Start date for each month of construction, starting at [1].</v>
      </c>
    </row>
    <row r="54" spans="4:5" ht="15" customHeight="1" x14ac:dyDescent="0.35">
      <c r="D54" s="93" t="str">
        <f>$F36&amp;": If "&amp;F28&amp;" &lt;= "&amp;F11&amp;", "&amp;$F$21&amp;" x "&amp;$F$24&amp;" x "&amp;$F$38&amp; "t-1. Otherwise, 0."</f>
        <v>[19]: If [14] &lt;= [4], [10] x [13] x [21]t-1. Otherwise, 0.</v>
      </c>
    </row>
    <row r="55" spans="4:5" ht="15" customHeight="1" x14ac:dyDescent="0.35">
      <c r="D55" s="93" t="str">
        <f>$F37&amp;": "&amp;$F$36&amp;" + ("&amp;$F$34&amp;" - "&amp;$F$35&amp;")."</f>
        <v>[20]: [19] + ([17] - [18]).</v>
      </c>
    </row>
    <row r="56" spans="4:5" ht="15" customHeight="1" x14ac:dyDescent="0.35">
      <c r="D56" s="93" t="str">
        <f>F38&amp;": Cumulative sum of "&amp;$F$37&amp;"."</f>
        <v>[21]: Cumulative sum of [20].</v>
      </c>
    </row>
    <row r="57" spans="4:5" ht="15" customHeight="1" x14ac:dyDescent="0.35">
      <c r="D57" s="93" t="str">
        <f>F43&amp;": NPV("&amp;$F$34&amp;" at "&amp;$F$23&amp;") x (1 + "&amp;$F$23&amp;")^"&amp;$F$11&amp;"."</f>
        <v>[23]: NPV([17] at [12]) x (1 + [12])^[4].</v>
      </c>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5712-EA6D-4C2C-AF20-CAF402E63F86}">
  <sheetPr codeName="Sheet20">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1951-2B5E-4EAD-BD69-05E4A1205BF0}">
  <sheetPr codeName="Sheet24">
    <pageSetUpPr autoPageBreaks="0"/>
  </sheetPr>
  <dimension ref="A1:XEG54"/>
  <sheetViews>
    <sheetView showGridLines="0" zoomScale="70" zoomScaleNormal="70" workbookViewId="0"/>
  </sheetViews>
  <sheetFormatPr defaultColWidth="8.7265625" defaultRowHeight="15" customHeight="1" outlineLevelCol="1" x14ac:dyDescent="0.35"/>
  <cols>
    <col min="1" max="3" width="13.54296875" style="26" customWidth="1"/>
    <col min="4" max="4" width="67.453125" style="26" bestFit="1" customWidth="1"/>
    <col min="5" max="5" width="12.1796875" style="26" bestFit="1" customWidth="1"/>
    <col min="6" max="6" width="5.7265625" style="92" customWidth="1"/>
    <col min="7" max="7" width="13.54296875" style="26" bestFit="1" customWidth="1"/>
    <col min="8" max="9" width="14.1796875" style="26" customWidth="1"/>
    <col min="10" max="10" width="14.7265625" style="26" customWidth="1"/>
    <col min="11" max="11" width="13.7265625" style="26" customWidth="1"/>
    <col min="12" max="12" width="14.1796875" style="26" customWidth="1"/>
    <col min="13" max="13" width="14.7265625" style="26" customWidth="1"/>
    <col min="14" max="15" width="13.7265625" style="26" customWidth="1"/>
    <col min="16" max="16" width="14.1796875" style="26" customWidth="1"/>
    <col min="17" max="17" width="13.7265625" style="26" customWidth="1"/>
    <col min="18" max="18" width="14.7265625" style="26" customWidth="1"/>
    <col min="19" max="19" width="14.1796875" style="26" customWidth="1"/>
    <col min="20" max="21" width="13.7265625" style="26" customWidth="1"/>
    <col min="22" max="22" width="14.1796875" style="26" customWidth="1"/>
    <col min="23" max="23" width="14.7265625" style="26" customWidth="1"/>
    <col min="24" max="24" width="13.7265625" style="26" customWidth="1"/>
    <col min="25" max="25" width="14.1796875" style="26" customWidth="1"/>
    <col min="26" max="27" width="13.7265625" style="26" customWidth="1"/>
    <col min="28" max="29" width="14.1796875" style="26" customWidth="1"/>
    <col min="30" max="30" width="13.81640625" style="26" customWidth="1"/>
    <col min="31" max="31" width="15.1796875" style="26" customWidth="1"/>
    <col min="32" max="34" width="14.7265625" style="26" customWidth="1"/>
    <col min="35" max="35" width="8.7265625" style="26"/>
    <col min="36" max="36" width="30.453125" style="36" hidden="1" customWidth="1" outlineLevel="1"/>
    <col min="37" max="37" width="34.81640625" style="36" hidden="1" customWidth="1" outlineLevel="1"/>
    <col min="38" max="38" width="8.7265625" style="26" collapsed="1"/>
    <col min="39" max="41" width="8.7265625" style="26"/>
    <col min="42" max="42" width="9.81640625" style="26" bestFit="1" customWidth="1"/>
    <col min="43" max="16361" width="8.7265625" style="26"/>
    <col min="16362" max="16384" width="8.7265625" style="5"/>
  </cols>
  <sheetData>
    <row r="1" spans="1:37" s="5" customFormat="1" ht="15" customHeight="1" x14ac:dyDescent="0.35">
      <c r="A1" s="81" t="s">
        <v>275</v>
      </c>
      <c r="B1" s="191"/>
      <c r="C1" s="26"/>
      <c r="D1" s="26"/>
      <c r="E1" s="26"/>
      <c r="F1" s="92"/>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36"/>
      <c r="AK1" s="36"/>
    </row>
    <row r="2" spans="1:37" s="5" customFormat="1" ht="15" customHeight="1" x14ac:dyDescent="0.35">
      <c r="A2" s="26"/>
      <c r="B2" s="26"/>
      <c r="C2" s="26"/>
      <c r="D2" s="26"/>
      <c r="E2" s="26"/>
      <c r="F2" s="9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6"/>
      <c r="AK2" s="36"/>
    </row>
    <row r="3" spans="1:37" s="26" customFormat="1" ht="15" customHeight="1" x14ac:dyDescent="0.35">
      <c r="D3" s="88" t="str">
        <f>LEFT($D4, FIND(":",$D4)-1)</f>
        <v>Table B1</v>
      </c>
      <c r="F3" s="92"/>
      <c r="AJ3" s="36"/>
      <c r="AK3" s="36"/>
    </row>
    <row r="4" spans="1:37" s="26" customFormat="1" ht="15" customHeight="1" x14ac:dyDescent="0.35">
      <c r="D4" s="86" t="str">
        <f>ToC!$J$29</f>
        <v>Table B1: Annual Fixed Operations and Maintenance Costs</v>
      </c>
      <c r="F4" s="92"/>
      <c r="AJ4" s="36"/>
      <c r="AK4" s="36"/>
    </row>
    <row r="5" spans="1:37" s="26" customFormat="1" ht="6" customHeight="1" thickBot="1" x14ac:dyDescent="0.4">
      <c r="D5" s="44"/>
      <c r="E5" s="44"/>
      <c r="F5" s="105"/>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J5" s="36"/>
      <c r="AK5" s="36"/>
    </row>
    <row r="6" spans="1:37" s="26" customFormat="1" ht="6" customHeight="1" thickTop="1" x14ac:dyDescent="0.35">
      <c r="F6" s="92"/>
      <c r="AJ6" s="36"/>
      <c r="AK6" s="36"/>
    </row>
    <row r="7" spans="1:37" s="151" customFormat="1" ht="15" customHeight="1" x14ac:dyDescent="0.35">
      <c r="D7" s="162" t="s">
        <v>215</v>
      </c>
      <c r="F7" s="225"/>
      <c r="AG7" s="313"/>
      <c r="AH7" s="313"/>
      <c r="AJ7" s="214"/>
      <c r="AK7" s="214"/>
    </row>
    <row r="8" spans="1:37" s="151" customFormat="1" ht="15" customHeight="1" x14ac:dyDescent="0.35">
      <c r="A8" s="151">
        <v>1</v>
      </c>
      <c r="D8" s="215" t="str">
        <f>Control!$D$39</f>
        <v>Mid-Point Construction Date</v>
      </c>
      <c r="F8" s="225" t="str">
        <f t="shared" ref="F8:F9" si="0">"["&amp;A8&amp;"]"</f>
        <v>[1]</v>
      </c>
      <c r="G8" s="313" t="str">
        <f>Control!$D$3</f>
        <v>Control Table</v>
      </c>
      <c r="H8" s="150">
        <f>INDEX(Control!$H$10:$H$62, MATCH($D8, Control!$D$10:$D$62, 0))</f>
        <v>45870</v>
      </c>
      <c r="AG8" s="313"/>
      <c r="AH8" s="313"/>
      <c r="AJ8" s="214"/>
      <c r="AK8" s="214"/>
    </row>
    <row r="9" spans="1:37" s="151" customFormat="1" ht="15" customHeight="1" x14ac:dyDescent="0.35">
      <c r="A9" s="151">
        <f>MAX($A$8:A8)+1</f>
        <v>2</v>
      </c>
      <c r="D9" s="215" t="str">
        <f>Control!$D$19</f>
        <v>Online Date</v>
      </c>
      <c r="F9" s="312" t="str">
        <f t="shared" si="0"/>
        <v>[2]</v>
      </c>
      <c r="G9" s="313" t="str">
        <f>Control!$D$3</f>
        <v>Control Table</v>
      </c>
      <c r="H9" s="150">
        <f>INDEX(Control!$H$10:$H$62, MATCH($D9, Control!$D$10:$D$62, 0))</f>
        <v>46905</v>
      </c>
      <c r="AG9" s="313"/>
      <c r="AH9" s="313"/>
      <c r="AJ9" s="214"/>
      <c r="AK9" s="214"/>
    </row>
    <row r="10" spans="1:37" s="151" customFormat="1" ht="6" customHeight="1" x14ac:dyDescent="0.35">
      <c r="D10" s="215"/>
      <c r="F10" s="225"/>
      <c r="G10" s="313"/>
      <c r="AG10" s="313"/>
      <c r="AH10" s="313"/>
      <c r="AJ10" s="214"/>
      <c r="AK10" s="214"/>
    </row>
    <row r="11" spans="1:37" s="151" customFormat="1" ht="15" customHeight="1" x14ac:dyDescent="0.35">
      <c r="D11" s="162" t="s">
        <v>40</v>
      </c>
      <c r="F11" s="225"/>
      <c r="G11" s="313"/>
      <c r="AG11" s="313"/>
      <c r="AH11" s="313"/>
      <c r="AJ11" s="217" t="s">
        <v>174</v>
      </c>
      <c r="AK11" s="217" t="s">
        <v>175</v>
      </c>
    </row>
    <row r="12" spans="1:37" s="151" customFormat="1" ht="15" customHeight="1" x14ac:dyDescent="0.35">
      <c r="A12" s="151">
        <f>MAX($A$8:A11)+1</f>
        <v>3</v>
      </c>
      <c r="D12" s="215" t="s">
        <v>1</v>
      </c>
      <c r="F12" s="225" t="str">
        <f t="shared" ref="F12:F22" si="1">"["&amp;A12&amp;"]"</f>
        <v>[3]</v>
      </c>
      <c r="G12" s="313" t="str">
        <f>Control!$D$3</f>
        <v>Control Table</v>
      </c>
      <c r="H12" s="150" t="str">
        <f>INDEX(Control!$H$10:$H$62, MATCH($D12, Control!$D$10:$D$62, 0))</f>
        <v>CC</v>
      </c>
      <c r="AG12" s="313"/>
      <c r="AH12" s="313"/>
      <c r="AJ12" s="241"/>
      <c r="AK12" s="241"/>
    </row>
    <row r="13" spans="1:37" s="294" customFormat="1" ht="15" customHeight="1" x14ac:dyDescent="0.35">
      <c r="A13" s="294">
        <f>MAX($A$8:A12)+1</f>
        <v>4</v>
      </c>
      <c r="D13" s="215" t="s">
        <v>287</v>
      </c>
      <c r="F13" s="293" t="str">
        <f t="shared" si="1"/>
        <v>[4]</v>
      </c>
      <c r="G13" s="313" t="s">
        <v>0</v>
      </c>
      <c r="H13" s="305" t="str">
        <f>INDEX(Control!$H$10:$H$62, MATCH($D13, Control!$D$10:$D$62, 0))</f>
        <v>Rest of RTO</v>
      </c>
      <c r="AG13" s="313"/>
      <c r="AH13" s="313"/>
      <c r="AJ13" s="306"/>
      <c r="AK13" s="214"/>
    </row>
    <row r="14" spans="1:37" s="313" customFormat="1" ht="15" customHeight="1" x14ac:dyDescent="0.35">
      <c r="A14" s="313">
        <f>MAX($A$8:A13)+1</f>
        <v>5</v>
      </c>
      <c r="D14" s="215" t="s">
        <v>574</v>
      </c>
      <c r="F14" s="312" t="str">
        <f>"["&amp;A14&amp;"]"</f>
        <v>[5]</v>
      </c>
      <c r="G14" s="2175" t="s">
        <v>39</v>
      </c>
      <c r="H14" s="713">
        <f>MONTH($H$9)+6</f>
        <v>12</v>
      </c>
      <c r="AJ14" s="214"/>
      <c r="AK14" s="214"/>
    </row>
    <row r="15" spans="1:37" s="313" customFormat="1" ht="15" customHeight="1" x14ac:dyDescent="0.35">
      <c r="A15" s="313">
        <f>MAX($A$8:A14)+1</f>
        <v>6</v>
      </c>
      <c r="D15" s="215" t="str">
        <f>Control!$D$45</f>
        <v>Economic Life</v>
      </c>
      <c r="E15" s="313" t="s">
        <v>118</v>
      </c>
      <c r="F15" s="312" t="str">
        <f>"["&amp;A15&amp;"]"</f>
        <v>[6]</v>
      </c>
      <c r="G15" s="313" t="str">
        <f>Control!$D$3</f>
        <v>Control Table</v>
      </c>
      <c r="H15" s="2176">
        <f>Control!$H$45</f>
        <v>20</v>
      </c>
      <c r="AJ15" s="214"/>
      <c r="AK15" s="214"/>
    </row>
    <row r="16" spans="1:37" s="151" customFormat="1" ht="15" customHeight="1" x14ac:dyDescent="0.35">
      <c r="A16" s="313">
        <f>MAX($A$8:A15)+1</f>
        <v>7</v>
      </c>
      <c r="D16" s="215" t="s">
        <v>41</v>
      </c>
      <c r="E16" s="313" t="str">
        <f>YEAR($H$9)&amp;"$"</f>
        <v>2028$</v>
      </c>
      <c r="F16" s="312" t="str">
        <f t="shared" si="1"/>
        <v>[7]</v>
      </c>
      <c r="G16" s="313" t="s">
        <v>39</v>
      </c>
      <c r="H16" s="153">
        <f ca="1">IF($H$12=Control!$I$10,INDEX('CT OM Costs'!$R$37:$V$51,MATCH($AJ16,'CT OM Costs'!$D$37:$D$51,0),MATCH($H$13,'CT OM Costs'!$R$29:$V$29,0)),IF($H$12=Control!$J$10,INDEX('CC OM Costs'!$R$37:$V$52,MATCH($AJ16,'CC OM Costs'!$D$37:$D$52,0),MATCH($H$13,'CC OM Costs'!$R$29:$V$29,0)),INDEX('BESS OM Costs'!$R$37:$V$51,MATCH($AK16,'BESS OM Costs'!$D$37:$D$51,0),MATCH($H$13,'BESS OM Costs'!$R$29:$V$29,0))))</f>
        <v>65076871.923501581</v>
      </c>
      <c r="AG16" s="313"/>
      <c r="AH16" s="313"/>
      <c r="AJ16" s="1130" t="s">
        <v>158</v>
      </c>
      <c r="AK16" s="219" t="str">
        <f>'BESS OM Costs'!$D$50</f>
        <v>Total Fixed O&amp;M Cost, No Augmentation</v>
      </c>
    </row>
    <row r="17" spans="1:37" s="151" customFormat="1" ht="15" customHeight="1" x14ac:dyDescent="0.35">
      <c r="A17" s="313">
        <f>MAX($A$8:A16)+1</f>
        <v>8</v>
      </c>
      <c r="D17" s="215" t="s">
        <v>44</v>
      </c>
      <c r="E17" s="313" t="str">
        <f>YEAR($H$9)&amp;"$"</f>
        <v>2028$</v>
      </c>
      <c r="F17" s="312" t="str">
        <f t="shared" si="1"/>
        <v>[8]</v>
      </c>
      <c r="G17" s="313" t="s">
        <v>39</v>
      </c>
      <c r="H17" s="153">
        <f>IF($H$12=Control!$J$10,INDEX('CC OM Costs'!$R$37:$V$52,MATCH($AJ17,'CC OM Costs'!$D$37:$D$52,0),MATCH($H$13,'CC OM Costs'!$R$29:$V$29,0)),0)</f>
        <v>26209833.909479707</v>
      </c>
      <c r="AG17" s="313"/>
      <c r="AH17" s="313"/>
      <c r="AJ17" s="1130" t="s">
        <v>202</v>
      </c>
      <c r="AK17" s="214"/>
    </row>
    <row r="18" spans="1:37" s="151" customFormat="1" ht="15" customHeight="1" x14ac:dyDescent="0.35">
      <c r="A18" s="313">
        <f>MAX($A$8:A17)+1</f>
        <v>9</v>
      </c>
      <c r="D18" s="215" t="s">
        <v>650</v>
      </c>
      <c r="E18" s="313" t="str">
        <f>YEAR($H$9)&amp;"$"</f>
        <v>2028$</v>
      </c>
      <c r="F18" s="312" t="str">
        <f t="shared" si="1"/>
        <v>[9]</v>
      </c>
      <c r="G18" s="313" t="s">
        <v>39</v>
      </c>
      <c r="H18" s="153">
        <f>IF($H$12=Control!$I$10,INDEX('CT OM Costs'!$R$37:$V$51,MATCH($AJ18,'CT OM Costs'!$D$37:$D$51,0),MATCH($H$13,'CT OM Costs'!$R$29:$V$29,0)),IF($H$12=Control!$J$10,INDEX('CC OM Costs'!$R$37:$V$52,MATCH($AJ18,'CC OM Costs'!$D$37:$D$52,0),MATCH($H$13,'CC OM Costs'!$R$29:$V$29,0)),INDEX('BESS OM Costs'!$R$37:$V$51,MATCH($AJ18,'BESS OM Costs'!$D$37:$D$51,0),MATCH($H$13,'BESS OM Costs'!$R$29:$V$29,0))))</f>
        <v>531101.84574423148</v>
      </c>
      <c r="V18" s="313"/>
      <c r="AG18" s="313"/>
      <c r="AH18" s="313"/>
      <c r="AJ18" s="1130" t="s">
        <v>648</v>
      </c>
      <c r="AK18" s="214"/>
    </row>
    <row r="19" spans="1:37" s="313" customFormat="1" ht="15" customHeight="1" x14ac:dyDescent="0.35">
      <c r="A19" s="313">
        <f>MAX($A$8:A18)+1</f>
        <v>10</v>
      </c>
      <c r="D19" s="215" t="str">
        <f>Control!$D55</f>
        <v>First Augmentation Year</v>
      </c>
      <c r="F19" s="312" t="str">
        <f>"["&amp;A19&amp;"]"</f>
        <v>[10]</v>
      </c>
      <c r="G19" s="313" t="str">
        <f>Control!$D$3</f>
        <v>Control Table</v>
      </c>
      <c r="H19" s="1089">
        <f>Control!$H55</f>
        <v>5</v>
      </c>
      <c r="AJ19" s="214"/>
      <c r="AK19" s="214"/>
    </row>
    <row r="20" spans="1:37" s="313" customFormat="1" ht="15" customHeight="1" x14ac:dyDescent="0.35">
      <c r="A20" s="313">
        <f>MAX($A$8:A19)+1</f>
        <v>11</v>
      </c>
      <c r="D20" s="215" t="str">
        <f>Control!$D56</f>
        <v>Augmentation Frequency after First Year</v>
      </c>
      <c r="E20" s="313" t="s">
        <v>118</v>
      </c>
      <c r="F20" s="312" t="str">
        <f>"["&amp;A20&amp;"]"</f>
        <v>[11]</v>
      </c>
      <c r="G20" s="313" t="str">
        <f>Control!$D$3</f>
        <v>Control Table</v>
      </c>
      <c r="H20" s="1089">
        <f>Control!$H56</f>
        <v>3</v>
      </c>
      <c r="AJ20" s="214"/>
      <c r="AK20" s="214"/>
    </row>
    <row r="21" spans="1:37" s="313" customFormat="1" ht="15" customHeight="1" x14ac:dyDescent="0.35">
      <c r="A21" s="313">
        <f>MAX($A$8:A20)+1</f>
        <v>12</v>
      </c>
      <c r="D21" s="215" t="s">
        <v>142</v>
      </c>
      <c r="F21" s="312" t="str">
        <f t="shared" si="1"/>
        <v>[12]</v>
      </c>
      <c r="G21" s="313" t="str">
        <f>'S&amp;L BESS - Cost Assumptions'!$D$3</f>
        <v>Table C10</v>
      </c>
      <c r="H21" s="713">
        <f>INDEX('S&amp;L BESS - Cost Assumptions'!$F$12:$J$41,MATCH($D$21,'S&amp;L BESS - Cost Assumptions'!$D$12:$D$41,0),MATCH($H$13,'S&amp;L BESS - Cost Assumptions'!$F$7:$J$7,0))</f>
        <v>5</v>
      </c>
      <c r="AJ21" s="1131"/>
      <c r="AK21" s="214"/>
    </row>
    <row r="22" spans="1:37" s="313" customFormat="1" ht="15" customHeight="1" x14ac:dyDescent="0.35">
      <c r="A22" s="313">
        <f>MAX($A$8:A21)+1</f>
        <v>13</v>
      </c>
      <c r="D22" s="216" t="s">
        <v>512</v>
      </c>
      <c r="E22" s="313" t="s">
        <v>10</v>
      </c>
      <c r="F22" s="312" t="str">
        <f t="shared" si="1"/>
        <v>[13]</v>
      </c>
      <c r="G22" s="313" t="str">
        <f>'Cumulative Inflation'!$D$3</f>
        <v>Table B9</v>
      </c>
      <c r="H22" s="154">
        <f>_xlfn.XLOOKUP($H$12,'Cumulative Inflation'!$H$7:$J$7,'Cumulative Inflation'!$H$20:$J$20)-1</f>
        <v>8.9329218702034474E-2</v>
      </c>
      <c r="AJ22" s="1131"/>
      <c r="AK22" s="214"/>
    </row>
    <row r="23" spans="1:37" s="151" customFormat="1" ht="6" customHeight="1" x14ac:dyDescent="0.35">
      <c r="A23" s="313"/>
      <c r="D23" s="159"/>
      <c r="E23" s="159"/>
      <c r="F23" s="244"/>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265"/>
      <c r="AG23" s="265"/>
      <c r="AH23" s="265"/>
      <c r="AJ23" s="214"/>
      <c r="AK23" s="214"/>
    </row>
    <row r="24" spans="1:37" s="151" customFormat="1" ht="6" customHeight="1" x14ac:dyDescent="0.35">
      <c r="F24" s="225"/>
      <c r="G24" s="313"/>
      <c r="AF24" s="270"/>
      <c r="AG24" s="270"/>
      <c r="AH24" s="270"/>
      <c r="AJ24" s="214"/>
      <c r="AK24" s="214"/>
    </row>
    <row r="25" spans="1:37" s="151" customFormat="1" ht="15" customHeight="1" x14ac:dyDescent="0.35">
      <c r="D25" s="162" t="s">
        <v>236</v>
      </c>
      <c r="F25" s="225"/>
      <c r="G25" s="313"/>
      <c r="AG25" s="313"/>
      <c r="AH25" s="313"/>
      <c r="AJ25" s="214"/>
      <c r="AK25" s="214"/>
    </row>
    <row r="26" spans="1:37" s="151" customFormat="1" ht="15" customHeight="1" x14ac:dyDescent="0.35">
      <c r="A26" s="151">
        <f>MAX($A$8:A24)+1</f>
        <v>14</v>
      </c>
      <c r="D26" s="215" t="s">
        <v>27</v>
      </c>
      <c r="F26" s="225" t="str">
        <f>"["&amp;A26&amp;"]"</f>
        <v>[14]</v>
      </c>
      <c r="G26" s="313"/>
      <c r="H26" s="313">
        <f>YEAR($H$9)</f>
        <v>2028</v>
      </c>
      <c r="I26" s="313">
        <f>H26+1</f>
        <v>2029</v>
      </c>
      <c r="J26" s="313">
        <f t="shared" ref="J26:AF26" si="2">I26+1</f>
        <v>2030</v>
      </c>
      <c r="K26" s="313">
        <f t="shared" si="2"/>
        <v>2031</v>
      </c>
      <c r="L26" s="313">
        <f t="shared" si="2"/>
        <v>2032</v>
      </c>
      <c r="M26" s="313">
        <f t="shared" si="2"/>
        <v>2033</v>
      </c>
      <c r="N26" s="313">
        <f t="shared" si="2"/>
        <v>2034</v>
      </c>
      <c r="O26" s="313">
        <f t="shared" si="2"/>
        <v>2035</v>
      </c>
      <c r="P26" s="313">
        <f t="shared" si="2"/>
        <v>2036</v>
      </c>
      <c r="Q26" s="313">
        <f t="shared" si="2"/>
        <v>2037</v>
      </c>
      <c r="R26" s="313">
        <f t="shared" si="2"/>
        <v>2038</v>
      </c>
      <c r="S26" s="313">
        <f t="shared" si="2"/>
        <v>2039</v>
      </c>
      <c r="T26" s="313">
        <f t="shared" si="2"/>
        <v>2040</v>
      </c>
      <c r="U26" s="313">
        <f t="shared" si="2"/>
        <v>2041</v>
      </c>
      <c r="V26" s="313">
        <f t="shared" si="2"/>
        <v>2042</v>
      </c>
      <c r="W26" s="313">
        <f t="shared" si="2"/>
        <v>2043</v>
      </c>
      <c r="X26" s="313">
        <f t="shared" si="2"/>
        <v>2044</v>
      </c>
      <c r="Y26" s="313">
        <f t="shared" si="2"/>
        <v>2045</v>
      </c>
      <c r="Z26" s="313">
        <f t="shared" si="2"/>
        <v>2046</v>
      </c>
      <c r="AA26" s="313">
        <f t="shared" si="2"/>
        <v>2047</v>
      </c>
      <c r="AB26" s="313">
        <f t="shared" si="2"/>
        <v>2048</v>
      </c>
      <c r="AC26" s="313">
        <f t="shared" si="2"/>
        <v>2049</v>
      </c>
      <c r="AD26" s="313">
        <f t="shared" si="2"/>
        <v>2050</v>
      </c>
      <c r="AE26" s="313">
        <f t="shared" si="2"/>
        <v>2051</v>
      </c>
      <c r="AF26" s="313">
        <f t="shared" si="2"/>
        <v>2052</v>
      </c>
      <c r="AG26" s="313">
        <f>AF26+1</f>
        <v>2053</v>
      </c>
      <c r="AH26" s="313">
        <f>AG26+1</f>
        <v>2054</v>
      </c>
      <c r="AJ26" s="214"/>
      <c r="AK26" s="214"/>
    </row>
    <row r="27" spans="1:37" s="151" customFormat="1" ht="15" customHeight="1" x14ac:dyDescent="0.35">
      <c r="A27" s="151">
        <f>MAX($A$8:A26)+1</f>
        <v>15</v>
      </c>
      <c r="D27" s="215" t="s">
        <v>538</v>
      </c>
      <c r="F27" s="225" t="str">
        <f>"["&amp;A27&amp;"]"</f>
        <v>[15]</v>
      </c>
      <c r="G27" s="313" t="str">
        <f>F26&amp;" - "&amp;YEAR($H$9)&amp;" + 1"</f>
        <v>[14] - 2028 + 1</v>
      </c>
      <c r="H27" s="167">
        <f t="shared" ref="H27:AH27" si="3">H$26-YEAR($H$9)+1</f>
        <v>1</v>
      </c>
      <c r="I27" s="167">
        <f t="shared" si="3"/>
        <v>2</v>
      </c>
      <c r="J27" s="167">
        <f t="shared" si="3"/>
        <v>3</v>
      </c>
      <c r="K27" s="167">
        <f t="shared" si="3"/>
        <v>4</v>
      </c>
      <c r="L27" s="167">
        <f t="shared" si="3"/>
        <v>5</v>
      </c>
      <c r="M27" s="167">
        <f t="shared" si="3"/>
        <v>6</v>
      </c>
      <c r="N27" s="167">
        <f t="shared" si="3"/>
        <v>7</v>
      </c>
      <c r="O27" s="167">
        <f t="shared" si="3"/>
        <v>8</v>
      </c>
      <c r="P27" s="167">
        <f t="shared" si="3"/>
        <v>9</v>
      </c>
      <c r="Q27" s="167">
        <f t="shared" si="3"/>
        <v>10</v>
      </c>
      <c r="R27" s="167">
        <f t="shared" si="3"/>
        <v>11</v>
      </c>
      <c r="S27" s="167">
        <f t="shared" si="3"/>
        <v>12</v>
      </c>
      <c r="T27" s="167">
        <f t="shared" si="3"/>
        <v>13</v>
      </c>
      <c r="U27" s="167">
        <f t="shared" si="3"/>
        <v>14</v>
      </c>
      <c r="V27" s="167">
        <f t="shared" si="3"/>
        <v>15</v>
      </c>
      <c r="W27" s="167">
        <f t="shared" si="3"/>
        <v>16</v>
      </c>
      <c r="X27" s="167">
        <f t="shared" si="3"/>
        <v>17</v>
      </c>
      <c r="Y27" s="167">
        <f t="shared" si="3"/>
        <v>18</v>
      </c>
      <c r="Z27" s="167">
        <f t="shared" si="3"/>
        <v>19</v>
      </c>
      <c r="AA27" s="167">
        <f t="shared" si="3"/>
        <v>20</v>
      </c>
      <c r="AB27" s="167">
        <f t="shared" si="3"/>
        <v>21</v>
      </c>
      <c r="AC27" s="167">
        <f t="shared" si="3"/>
        <v>22</v>
      </c>
      <c r="AD27" s="167">
        <f t="shared" si="3"/>
        <v>23</v>
      </c>
      <c r="AE27" s="167">
        <f t="shared" si="3"/>
        <v>24</v>
      </c>
      <c r="AF27" s="167">
        <f t="shared" si="3"/>
        <v>25</v>
      </c>
      <c r="AG27" s="167">
        <f t="shared" si="3"/>
        <v>26</v>
      </c>
      <c r="AH27" s="167">
        <f t="shared" si="3"/>
        <v>27</v>
      </c>
      <c r="AJ27" s="214"/>
      <c r="AK27" s="214"/>
    </row>
    <row r="28" spans="1:37" s="151" customFormat="1" ht="15" customHeight="1" x14ac:dyDescent="0.35">
      <c r="A28" s="151">
        <f>MAX($A$8:A27)+1</f>
        <v>16</v>
      </c>
      <c r="D28" s="215" t="s">
        <v>46</v>
      </c>
      <c r="F28" s="225" t="str">
        <f>"["&amp;A28&amp;"]"</f>
        <v>[16]</v>
      </c>
      <c r="G28" s="313" t="s">
        <v>39</v>
      </c>
      <c r="H28" s="152" cm="1">
        <f t="array" ref="H28">_xlfn.IFS(SUM($G$28:G$28)&gt;=$H$21,0,H27&lt;$H$19,0,H27=$H$19,1,H27&gt;$H$19,IF(MOD(H27-$H$19,$H$20)=0,1,0))</f>
        <v>0</v>
      </c>
      <c r="I28" s="152" cm="1">
        <f t="array" ref="I28">_xlfn.IFS(SUM($G$28:H$28)&gt;=$H$21,0,I27&lt;$H$19,0,I27=$H$19,1,I27&gt;$H$19,IF(MOD(I27-$H$19,$H$20)=0,1,0))</f>
        <v>0</v>
      </c>
      <c r="J28" s="152" cm="1">
        <f t="array" ref="J28">_xlfn.IFS(SUM($G$28:I$28)&gt;=$H$21,0,J27&lt;$H$19,0,J27=$H$19,1,J27&gt;$H$19,IF(MOD(J27-$H$19,$H$20)=0,1,0))</f>
        <v>0</v>
      </c>
      <c r="K28" s="152" cm="1">
        <f t="array" ref="K28">_xlfn.IFS(SUM($G$28:J$28)&gt;=$H$21,0,K27&lt;$H$19,0,K27=$H$19,1,K27&gt;$H$19,IF(MOD(K27-$H$19,$H$20)=0,1,0))</f>
        <v>0</v>
      </c>
      <c r="L28" s="313" cm="1">
        <f t="array" ref="L28">_xlfn.IFS(SUM($G$28:K$28)&gt;=$H$21,0,L27&lt;$H$19,0,L27=$H$19,1,L27&gt;$H$19,IF(MOD(L27-$H$19,$H$20)=0,1,0))</f>
        <v>1</v>
      </c>
      <c r="M28" s="152" cm="1">
        <f t="array" ref="M28">_xlfn.IFS(SUM($G$28:L$28)&gt;=$H$21,0,M27&lt;$H$19,0,M27=$H$19,1,M27&gt;$H$19,IF(MOD(M27-$H$19,$H$20)=0,1,0))</f>
        <v>0</v>
      </c>
      <c r="N28" s="152" cm="1">
        <f t="array" ref="N28">_xlfn.IFS(SUM($G$28:M$28)&gt;=$H$21,0,N27&lt;$H$19,0,N27=$H$19,1,N27&gt;$H$19,IF(MOD(N27-$H$19,$H$20)=0,1,0))</f>
        <v>0</v>
      </c>
      <c r="O28" s="152" cm="1">
        <f t="array" ref="O28">_xlfn.IFS(SUM($G$28:N$28)&gt;=$H$21,0,O27&lt;$H$19,0,O27=$H$19,1,O27&gt;$H$19,IF(MOD(O27-$H$19,$H$20)=0,1,0))</f>
        <v>1</v>
      </c>
      <c r="P28" s="152" cm="1">
        <f t="array" ref="P28">_xlfn.IFS(SUM($G$28:O$28)&gt;=$H$21,0,P27&lt;$H$19,0,P27=$H$19,1,P27&gt;$H$19,IF(MOD(P27-$H$19,$H$20)=0,1,0))</f>
        <v>0</v>
      </c>
      <c r="Q28" s="152" cm="1">
        <f t="array" ref="Q28">_xlfn.IFS(SUM($G$28:P$28)&gt;=$H$21,0,Q27&lt;$H$19,0,Q27=$H$19,1,Q27&gt;$H$19,IF(MOD(Q27-$H$19,$H$20)=0,1,0))</f>
        <v>0</v>
      </c>
      <c r="R28" s="152" cm="1">
        <f t="array" ref="R28">_xlfn.IFS(SUM($G$28:Q$28)&gt;=$H$21,0,R27&lt;$H$19,0,R27=$H$19,1,R27&gt;$H$19,IF(MOD(R27-$H$19,$H$20)=0,1,0))</f>
        <v>1</v>
      </c>
      <c r="S28" s="152" cm="1">
        <f t="array" ref="S28">_xlfn.IFS(SUM($G$28:R$28)&gt;=$H$21,0,S27&lt;$H$19,0,S27=$H$19,1,S27&gt;$H$19,IF(MOD(S27-$H$19,$H$20)=0,1,0))</f>
        <v>0</v>
      </c>
      <c r="T28" s="152" cm="1">
        <f t="array" ref="T28">_xlfn.IFS(SUM($G$28:S$28)&gt;=$H$21,0,T27&lt;$H$19,0,T27=$H$19,1,T27&gt;$H$19,IF(MOD(T27-$H$19,$H$20)=0,1,0))</f>
        <v>0</v>
      </c>
      <c r="U28" s="152" cm="1">
        <f t="array" ref="U28">_xlfn.IFS(SUM($G$28:T$28)&gt;=$H$21,0,U27&lt;$H$19,0,U27=$H$19,1,U27&gt;$H$19,IF(MOD(U27-$H$19,$H$20)=0,1,0))</f>
        <v>1</v>
      </c>
      <c r="V28" s="152" cm="1">
        <f t="array" ref="V28">_xlfn.IFS(SUM($G$28:U$28)&gt;=$H$21,0,V27&lt;$H$19,0,V27=$H$19,1,V27&gt;$H$19,IF(MOD(V27-$H$19,$H$20)=0,1,0))</f>
        <v>0</v>
      </c>
      <c r="W28" s="152" cm="1">
        <f t="array" ref="W28">_xlfn.IFS(SUM($G$28:V$28)&gt;=$H$21,0,W27&lt;$H$19,0,W27=$H$19,1,W27&gt;$H$19,IF(MOD(W27-$H$19,$H$20)=0,1,0))</f>
        <v>0</v>
      </c>
      <c r="X28" s="313" cm="1">
        <f t="array" ref="X28">_xlfn.IFS(SUM($G$28:W$28)&gt;=$H$21,0,X27&lt;$H$19,0,X27=$H$19,1,X27&gt;$H$19,IF(MOD(X27-$H$19,$H$20)=0,1,0))</f>
        <v>1</v>
      </c>
      <c r="Y28" s="152" cm="1">
        <f t="array" ref="Y28">_xlfn.IFS(SUM($G$28:X$28)&gt;=$H$21,0,Y27&lt;$H$19,0,Y27=$H$19,1,Y27&gt;$H$19,IF(MOD(Y27-$H$19,$H$20)=0,1,0))</f>
        <v>0</v>
      </c>
      <c r="Z28" s="152" cm="1">
        <f t="array" ref="Z28">_xlfn.IFS(SUM($G$28:Y$28)&gt;=$H$21,0,Z27&lt;$H$19,0,Z27=$H$19,1,Z27&gt;$H$19,IF(MOD(Z27-$H$19,$H$20)=0,1,0))</f>
        <v>0</v>
      </c>
      <c r="AA28" s="152" cm="1">
        <f t="array" ref="AA28">_xlfn.IFS(SUM($G$28:Z$28)&gt;=$H$21,0,AA27&lt;$H$19,0,AA27=$H$19,1,AA27&gt;$H$19,IF(MOD(AA27-$H$19,$H$20)=0,1,0))</f>
        <v>0</v>
      </c>
      <c r="AB28" s="152" cm="1">
        <f t="array" ref="AB28">_xlfn.IFS(SUM($G$28:AA$28)&gt;=$H$21,0,AB27&lt;$H$19,0,AB27=$H$19,1,AB27&gt;$H$19,IF(MOD(AB27-$H$19,$H$20)=0,1,0))</f>
        <v>0</v>
      </c>
      <c r="AC28" s="152" cm="1">
        <f t="array" ref="AC28">_xlfn.IFS(SUM($G$28:AB$28)&gt;=$H$21,0,AC27&lt;$H$19,0,AC27=$H$19,1,AC27&gt;$H$19,IF(MOD(AC27-$H$19,$H$20)=0,1,0))</f>
        <v>0</v>
      </c>
      <c r="AD28" s="152" cm="1">
        <f t="array" ref="AD28">_xlfn.IFS(SUM($G$28:AC$28)&gt;=$H$21,0,AD27&lt;$H$19,0,AD27=$H$19,1,AD27&gt;$H$19,IF(MOD(AD27-$H$19,$H$20)=0,1,0))</f>
        <v>0</v>
      </c>
      <c r="AE28" s="152" cm="1">
        <f t="array" ref="AE28">_xlfn.IFS(SUM($G$28:AD$28)&gt;=$H$21,0,AE27&lt;$H$19,0,AE27=$H$19,1,AE27&gt;$H$19,IF(MOD(AE27-$H$19,$H$20)=0,1,0))</f>
        <v>0</v>
      </c>
      <c r="AF28" s="152" cm="1">
        <f t="array" ref="AF28">_xlfn.IFS(SUM($G$28:AE$28)&gt;=$H$21,0,AF27&lt;$H$19,0,AF27=$H$19,1,AF27&gt;$H$19,IF(MOD(AF27-$H$19,$H$20)=0,1,0))</f>
        <v>0</v>
      </c>
      <c r="AG28" s="152" cm="1">
        <f t="array" ref="AG28">_xlfn.IFS(SUM($G$28:AF$28)&gt;=$H$21,0,AG27&lt;$H$19,0,AG27=$H$19,1,AG27&gt;$H$19,IF(MOD(AG27-$H$19,$H$20)=0,1,0))</f>
        <v>0</v>
      </c>
      <c r="AH28" s="152" cm="1">
        <f t="array" ref="AH28">_xlfn.IFS(SUM($G$28:AG$28)&gt;=$H$21,0,AH27&lt;$H$19,0,AH27=$H$19,1,AH27&gt;$H$19,IF(MOD(AH27-$H$19,$H$20)=0,1,0))</f>
        <v>0</v>
      </c>
      <c r="AJ28" s="214"/>
      <c r="AK28" s="214"/>
    </row>
    <row r="29" spans="1:37" s="313" customFormat="1" ht="15" customHeight="1" x14ac:dyDescent="0.35">
      <c r="A29" s="313">
        <f>MAX($A$8:A28)+1</f>
        <v>17</v>
      </c>
      <c r="D29" s="215" t="s">
        <v>540</v>
      </c>
      <c r="E29" s="313" t="s">
        <v>223</v>
      </c>
      <c r="F29" s="312" t="str">
        <f>"["&amp;A29&amp;"]"</f>
        <v>[17]</v>
      </c>
      <c r="G29" s="313" t="str">
        <f>'S&amp;L Augmentation Details'!$D$3</f>
        <v>Table C13</v>
      </c>
      <c r="H29" s="713">
        <f ca="1">IF($H$12=Control!$K$10,IFERROR(IF(H$28=1,OFFSET('S&amp;L Augmentation Details'!$F$37,0,SUM($H$28:H$28)),0)*1000,0),0)</f>
        <v>0</v>
      </c>
      <c r="I29" s="713">
        <f ca="1">IF($H$12=Control!$K$10,IFERROR(IF(I$28=1,OFFSET('S&amp;L Augmentation Details'!$F$37,0,SUM($H$28:I$28)),0)*1000,0),0)</f>
        <v>0</v>
      </c>
      <c r="J29" s="713">
        <f ca="1">IF($H$12=Control!$K$10,IFERROR(IF(J$28=1,OFFSET('S&amp;L Augmentation Details'!$F$37,0,SUM($H$28:J$28)),0)*1000,0),0)</f>
        <v>0</v>
      </c>
      <c r="K29" s="713">
        <f ca="1">IF($H$12=Control!$K$10,IFERROR(IF(K$28=1,OFFSET('S&amp;L Augmentation Details'!$F$37,0,SUM($H$28:K$28)),0)*1000,0),0)</f>
        <v>0</v>
      </c>
      <c r="L29" s="713">
        <f ca="1">IF($H$12=Control!$K$10,IFERROR(IF(L$28=1,OFFSET('S&amp;L Augmentation Details'!$F$37,0,SUM($H$28:L$28)),0)*1000,0),0)</f>
        <v>0</v>
      </c>
      <c r="M29" s="713">
        <f ca="1">IF($H$12=Control!$K$10,IFERROR(IF(M$28=1,OFFSET('S&amp;L Augmentation Details'!$F$37,0,SUM($H$28:M$28)),0)*1000,0),0)</f>
        <v>0</v>
      </c>
      <c r="N29" s="713">
        <f ca="1">IF($H$12=Control!$K$10,IFERROR(IF(N$28=1,OFFSET('S&amp;L Augmentation Details'!$F$37,0,SUM($H$28:N$28)),0)*1000,0),0)</f>
        <v>0</v>
      </c>
      <c r="O29" s="713">
        <f ca="1">IF($H$12=Control!$K$10,IFERROR(IF(O$28=1,OFFSET('S&amp;L Augmentation Details'!$F$37,0,SUM($H$28:O$28)),0)*1000,0),0)</f>
        <v>0</v>
      </c>
      <c r="P29" s="713">
        <f ca="1">IF($H$12=Control!$K$10,IFERROR(IF(P$28=1,OFFSET('S&amp;L Augmentation Details'!$F$37,0,SUM($H$28:P$28)),0)*1000,0),0)</f>
        <v>0</v>
      </c>
      <c r="Q29" s="713">
        <f ca="1">IF($H$12=Control!$K$10,IFERROR(IF(Q$28=1,OFFSET('S&amp;L Augmentation Details'!$F$37,0,SUM($H$28:Q$28)),0)*1000,0),0)</f>
        <v>0</v>
      </c>
      <c r="R29" s="713">
        <f ca="1">IF($H$12=Control!$K$10,IFERROR(IF(R$28=1,OFFSET('S&amp;L Augmentation Details'!$F$37,0,SUM($H$28:R$28)),0)*1000,0),0)</f>
        <v>0</v>
      </c>
      <c r="S29" s="713">
        <f ca="1">IF($H$12=Control!$K$10,IFERROR(IF(S$28=1,OFFSET('S&amp;L Augmentation Details'!$F$37,0,SUM($H$28:S$28)),0)*1000,0),0)</f>
        <v>0</v>
      </c>
      <c r="T29" s="713">
        <f ca="1">IF($H$12=Control!$K$10,IFERROR(IF(T$28=1,OFFSET('S&amp;L Augmentation Details'!$F$37,0,SUM($H$28:T$28)),0)*1000,0),0)</f>
        <v>0</v>
      </c>
      <c r="U29" s="713">
        <f ca="1">IF($H$12=Control!$K$10,IFERROR(IF(U$28=1,OFFSET('S&amp;L Augmentation Details'!$F$37,0,SUM($H$28:U$28)),0)*1000,0),0)</f>
        <v>0</v>
      </c>
      <c r="V29" s="713">
        <f ca="1">IF($H$12=Control!$K$10,IFERROR(IF(V$28=1,OFFSET('S&amp;L Augmentation Details'!$F$37,0,SUM($H$28:V$28)),0)*1000,0),0)</f>
        <v>0</v>
      </c>
      <c r="W29" s="713">
        <f ca="1">IF($H$12=Control!$K$10,IFERROR(IF(W$28=1,OFFSET('S&amp;L Augmentation Details'!$F$37,0,SUM($H$28:W$28)),0)*1000,0),0)</f>
        <v>0</v>
      </c>
      <c r="X29" s="713">
        <f ca="1">IF($H$12=Control!$K$10,IFERROR(IF(X$28=1,OFFSET('S&amp;L Augmentation Details'!$F$37,0,SUM($H$28:X$28)),0)*1000,0),0)</f>
        <v>0</v>
      </c>
      <c r="Y29" s="713">
        <f ca="1">IF($H$12=Control!$K$10,IFERROR(IF(Y$28=1,OFFSET('S&amp;L Augmentation Details'!$F$37,0,SUM($H$28:Y$28)),0)*1000,0),0)</f>
        <v>0</v>
      </c>
      <c r="Z29" s="713">
        <f ca="1">IF($H$12=Control!$K$10,IFERROR(IF(Z$28=1,OFFSET('S&amp;L Augmentation Details'!$F$37,0,SUM($H$28:Z$28)),0)*1000,0),0)</f>
        <v>0</v>
      </c>
      <c r="AA29" s="713">
        <f ca="1">IF($H$12=Control!$K$10,IFERROR(IF(AA$28=1,OFFSET('S&amp;L Augmentation Details'!$F$37,0,SUM($H$28:AA$28)),0)*1000,0),0)</f>
        <v>0</v>
      </c>
      <c r="AB29" s="713">
        <f ca="1">IF($H$12=Control!$K$10,IFERROR(IF(AB$28=1,OFFSET('S&amp;L Augmentation Details'!$F$37,0,SUM($H$28:AB$28)),0)*1000,0),0)</f>
        <v>0</v>
      </c>
      <c r="AC29" s="713">
        <f ca="1">IF($H$12=Control!$K$10,IFERROR(IF(AC$28=1,OFFSET('S&amp;L Augmentation Details'!$F$37,0,SUM($H$28:AC$28)),0)*1000,0),0)</f>
        <v>0</v>
      </c>
      <c r="AD29" s="713">
        <f ca="1">IF($H$12=Control!$K$10,IFERROR(IF(AD$28=1,OFFSET('S&amp;L Augmentation Details'!$F$37,0,SUM($H$28:AD$28)),0)*1000,0),0)</f>
        <v>0</v>
      </c>
      <c r="AE29" s="713">
        <f ca="1">IF($H$12=Control!$K$10,IFERROR(IF(AE$28=1,OFFSET('S&amp;L Augmentation Details'!$F$37,0,SUM($H$28:AE$28)),0)*1000,0),0)</f>
        <v>0</v>
      </c>
      <c r="AF29" s="713">
        <f ca="1">IF($H$12=Control!$K$10,IFERROR(IF(AF$28=1,OFFSET('S&amp;L Augmentation Details'!$F$37,0,SUM($H$28:AF$28)),0)*1000,0),0)</f>
        <v>0</v>
      </c>
      <c r="AG29" s="713">
        <f ca="1">IF($H$12=Control!$K$10,IFERROR(IF(AG$28=1,OFFSET('S&amp;L Augmentation Details'!$F$37,0,SUM($H$28:AG$28)),0)*1000,0),0)</f>
        <v>0</v>
      </c>
      <c r="AH29" s="713">
        <f ca="1">IF($H$12=Control!$K$10,IFERROR(IF(AH$28=1,OFFSET('S&amp;L Augmentation Details'!$F$37,0,SUM($H$28:AH$28)),0)*1000,0),0)</f>
        <v>0</v>
      </c>
      <c r="AJ29" s="214"/>
      <c r="AK29" s="214"/>
    </row>
    <row r="30" spans="1:37" s="151" customFormat="1" ht="15" customHeight="1" x14ac:dyDescent="0.35">
      <c r="A30" s="313">
        <f>MAX($A$8:A29)+1</f>
        <v>18</v>
      </c>
      <c r="D30" s="215" t="s">
        <v>539</v>
      </c>
      <c r="E30" s="151" t="str">
        <f>'BESS Augmentation Trend'!$E$22</f>
        <v>2025$/kWh</v>
      </c>
      <c r="F30" s="312" t="str">
        <f>"["&amp;A30&amp;"]"</f>
        <v>[18]</v>
      </c>
      <c r="G30" s="313" t="str">
        <f>'BESS Augmentation Trend'!$D$3</f>
        <v>Table C5</v>
      </c>
      <c r="H30" s="242">
        <f>IFERROR(IF(AND($H$12=Control!$K$10,H28=1),_xlfn.XLOOKUP(H$26,'BESS Augmentation Trend'!$I$18:$AH$18,'BESS Augmentation Trend'!$I$22:$AH$22),0),0)</f>
        <v>0</v>
      </c>
      <c r="I30" s="242">
        <f>IFERROR(IF(AND($H$12=Control!$K$10,I28=1),_xlfn.XLOOKUP(I$26,'BESS Augmentation Trend'!$I$18:$AH$18,'BESS Augmentation Trend'!$I$22:$AH$22),0),0)</f>
        <v>0</v>
      </c>
      <c r="J30" s="242">
        <f>IFERROR(IF(AND($H$12=Control!$K$10,J28=1),_xlfn.XLOOKUP(J$26,'BESS Augmentation Trend'!$I$18:$AH$18,'BESS Augmentation Trend'!$I$22:$AH$22),0),0)</f>
        <v>0</v>
      </c>
      <c r="K30" s="242">
        <f>IFERROR(IF(AND($H$12=Control!$K$10,K28=1),_xlfn.XLOOKUP(K$26,'BESS Augmentation Trend'!$I$18:$AH$18,'BESS Augmentation Trend'!$I$22:$AH$22),0),0)</f>
        <v>0</v>
      </c>
      <c r="L30" s="242">
        <f>IFERROR(IF(AND($H$12=Control!$K$10,L28=1),_xlfn.XLOOKUP(L$26,'BESS Augmentation Trend'!$I$18:$AH$18,'BESS Augmentation Trend'!$I$22:$AH$22),0),0)</f>
        <v>0</v>
      </c>
      <c r="M30" s="242">
        <f>IFERROR(IF(AND($H$12=Control!$K$10,M28=1),_xlfn.XLOOKUP(M$26,'BESS Augmentation Trend'!$I$18:$AH$18,'BESS Augmentation Trend'!$I$22:$AH$22),0),0)</f>
        <v>0</v>
      </c>
      <c r="N30" s="242">
        <f>IFERROR(IF(AND($H$12=Control!$K$10,N28=1),_xlfn.XLOOKUP(N$26,'BESS Augmentation Trend'!$I$18:$AH$18,'BESS Augmentation Trend'!$I$22:$AH$22),0),0)</f>
        <v>0</v>
      </c>
      <c r="O30" s="242">
        <f>IFERROR(IF(AND($H$12=Control!$K$10,O28=1),_xlfn.XLOOKUP(O$26,'BESS Augmentation Trend'!$I$18:$AH$18,'BESS Augmentation Trend'!$I$22:$AH$22),0),0)</f>
        <v>0</v>
      </c>
      <c r="P30" s="242">
        <f>IFERROR(IF(AND($H$12=Control!$K$10,P28=1),_xlfn.XLOOKUP(P$26,'BESS Augmentation Trend'!$I$18:$AH$18,'BESS Augmentation Trend'!$I$22:$AH$22),0),0)</f>
        <v>0</v>
      </c>
      <c r="Q30" s="242">
        <f>IFERROR(IF(AND($H$12=Control!$K$10,Q28=1),_xlfn.XLOOKUP(Q$26,'BESS Augmentation Trend'!$I$18:$AH$18,'BESS Augmentation Trend'!$I$22:$AH$22),0),0)</f>
        <v>0</v>
      </c>
      <c r="R30" s="242">
        <f>IFERROR(IF(AND($H$12=Control!$K$10,R28=1),_xlfn.XLOOKUP(R$26,'BESS Augmentation Trend'!$I$18:$AH$18,'BESS Augmentation Trend'!$I$22:$AH$22),0),0)</f>
        <v>0</v>
      </c>
      <c r="S30" s="242">
        <f>IFERROR(IF(AND($H$12=Control!$K$10,S28=1),_xlfn.XLOOKUP(S$26,'BESS Augmentation Trend'!$I$18:$AH$18,'BESS Augmentation Trend'!$I$22:$AH$22),0),0)</f>
        <v>0</v>
      </c>
      <c r="T30" s="242">
        <f>IFERROR(IF(AND($H$12=Control!$K$10,T28=1),_xlfn.XLOOKUP(T$26,'BESS Augmentation Trend'!$I$18:$AH$18,'BESS Augmentation Trend'!$I$22:$AH$22),0),0)</f>
        <v>0</v>
      </c>
      <c r="U30" s="242">
        <f>IFERROR(IF(AND($H$12=Control!$K$10,U28=1),_xlfn.XLOOKUP(U$26,'BESS Augmentation Trend'!$I$18:$AH$18,'BESS Augmentation Trend'!$I$22:$AH$22),0),0)</f>
        <v>0</v>
      </c>
      <c r="V30" s="242">
        <f>IFERROR(IF(AND($H$12=Control!$K$10,V28=1),_xlfn.XLOOKUP(V$26,'BESS Augmentation Trend'!$I$18:$AH$18,'BESS Augmentation Trend'!$I$22:$AH$22),0),0)</f>
        <v>0</v>
      </c>
      <c r="W30" s="242">
        <f>IFERROR(IF(AND($H$12=Control!$K$10,W28=1),_xlfn.XLOOKUP(W$26,'BESS Augmentation Trend'!$I$18:$AH$18,'BESS Augmentation Trend'!$I$22:$AH$22),0),0)</f>
        <v>0</v>
      </c>
      <c r="X30" s="242">
        <f>IFERROR(IF(AND($H$12=Control!$K$10,X28=1),_xlfn.XLOOKUP(X$26,'BESS Augmentation Trend'!$I$18:$AH$18,'BESS Augmentation Trend'!$I$22:$AH$22),0),0)</f>
        <v>0</v>
      </c>
      <c r="Y30" s="242">
        <f>IFERROR(IF(AND($H$12=Control!$K$10,Y28=1),_xlfn.XLOOKUP(Y$26,'BESS Augmentation Trend'!$I$18:$AH$18,'BESS Augmentation Trend'!$I$22:$AH$22),0),0)</f>
        <v>0</v>
      </c>
      <c r="Z30" s="242">
        <f>IFERROR(IF(AND($H$12=Control!$K$10,Z28=1),_xlfn.XLOOKUP(Z$26,'BESS Augmentation Trend'!$I$18:$AH$18,'BESS Augmentation Trend'!$I$22:$AH$22),0),0)</f>
        <v>0</v>
      </c>
      <c r="AA30" s="242">
        <f>IFERROR(IF(AND($H$12=Control!$K$10,AA28=1),_xlfn.XLOOKUP(AA$26,'BESS Augmentation Trend'!$I$18:$AH$18,'BESS Augmentation Trend'!$I$22:$AH$22),0),0)</f>
        <v>0</v>
      </c>
      <c r="AB30" s="242">
        <f>IFERROR(IF(AND($H$12=Control!$K$10,AB28=1),_xlfn.XLOOKUP(AB$26,'BESS Augmentation Trend'!$I$18:$AH$18,'BESS Augmentation Trend'!$I$22:$AH$22),0),0)</f>
        <v>0</v>
      </c>
      <c r="AC30" s="242">
        <f>IFERROR(IF(AND($H$12=Control!$K$10,AC28=1),_xlfn.XLOOKUP(AC$26,'BESS Augmentation Trend'!$I$18:$AH$18,'BESS Augmentation Trend'!$I$22:$AH$22),0),0)</f>
        <v>0</v>
      </c>
      <c r="AD30" s="242">
        <f>IFERROR(IF(AND($H$12=Control!$K$10,AD28=1),_xlfn.XLOOKUP(AD$26,'BESS Augmentation Trend'!$I$18:$AH$18,'BESS Augmentation Trend'!$I$22:$AH$22),0),0)</f>
        <v>0</v>
      </c>
      <c r="AE30" s="242">
        <f>IFERROR(IF(AND($H$12=Control!$K$10,AE28=1),_xlfn.XLOOKUP(AE$26,'BESS Augmentation Trend'!$I$18:$AH$18,'BESS Augmentation Trend'!$I$22:$AH$22),0),0)</f>
        <v>0</v>
      </c>
      <c r="AF30" s="242">
        <f>IFERROR(IF(AND($H$12=Control!$K$10,AF28=1),_xlfn.XLOOKUP(AF$26,'BESS Augmentation Trend'!$I$18:$AH$18,'BESS Augmentation Trend'!$I$22:$AH$22),0),0)</f>
        <v>0</v>
      </c>
      <c r="AG30" s="242">
        <f>IFERROR(IF(AND($H$12=Control!$K$10,AG28=1),_xlfn.XLOOKUP(AG$26,'BESS Augmentation Trend'!$I$18:$AH$18,'BESS Augmentation Trend'!$I$22:$AH$22),0),0)</f>
        <v>0</v>
      </c>
      <c r="AH30" s="242">
        <f>IFERROR(IF(AND($H$12=Control!$K$10,AH28=1),_xlfn.XLOOKUP(AH$26,'BESS Augmentation Trend'!$I$18:$AH$18,'BESS Augmentation Trend'!$I$22:$AH$22),0),0)</f>
        <v>0</v>
      </c>
      <c r="AJ30" s="214"/>
      <c r="AK30" s="214"/>
    </row>
    <row r="31" spans="1:37" s="151" customFormat="1" ht="6" customHeight="1" x14ac:dyDescent="0.35">
      <c r="D31" s="159"/>
      <c r="E31" s="159"/>
      <c r="F31" s="244"/>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J31" s="214"/>
      <c r="AK31" s="214"/>
    </row>
    <row r="32" spans="1:37" s="151" customFormat="1" ht="6" customHeight="1" x14ac:dyDescent="0.35">
      <c r="F32" s="225"/>
      <c r="G32" s="313"/>
      <c r="AG32" s="313"/>
      <c r="AH32" s="313"/>
      <c r="AJ32" s="214"/>
      <c r="AK32" s="214"/>
    </row>
    <row r="33" spans="1:16361" s="313" customFormat="1" ht="15" customHeight="1" x14ac:dyDescent="0.35">
      <c r="A33" s="313">
        <f>MAX($A$8:A32)+1</f>
        <v>19</v>
      </c>
      <c r="B33" s="713"/>
      <c r="C33" s="713"/>
      <c r="D33" s="1076" t="s">
        <v>504</v>
      </c>
      <c r="E33" s="713" t="s">
        <v>10</v>
      </c>
      <c r="F33" s="312" t="str">
        <f>"["&amp;A33&amp;"]"</f>
        <v>[19]</v>
      </c>
      <c r="G33" s="713" t="str">
        <f>'Inflation Forecast'!$D$3</f>
        <v>Table C4</v>
      </c>
      <c r="H33" s="1077">
        <f>IF(H27&gt;ROUNDUP($H$15,0),0,IFERROR(_xlfn.XLOOKUP(H$26,'Inflation Forecast'!$D$11:$D$41,'Inflation Forecast'!$E$11:$E$41),0))</f>
        <v>2.4029296153061378E-2</v>
      </c>
      <c r="I33" s="1077">
        <f>IF(I27&gt;ROUNDUP($H$15,0),0,IFERROR(_xlfn.XLOOKUP(I$26,'Inflation Forecast'!$D$11:$D$41,'Inflation Forecast'!$E$11:$E$41),0))</f>
        <v>2.400566119846299E-2</v>
      </c>
      <c r="J33" s="1077">
        <f>IF(J27&gt;ROUNDUP($H$15,0),0,IFERROR(_xlfn.XLOOKUP(J$26,'Inflation Forecast'!$D$11:$D$41,'Inflation Forecast'!$E$11:$E$41),0))</f>
        <v>2.4082665102263524E-2</v>
      </c>
      <c r="K33" s="1077">
        <f>IF(K27&gt;ROUNDUP($H$15,0),0,IFERROR(_xlfn.XLOOKUP(K$26,'Inflation Forecast'!$D$11:$D$41,'Inflation Forecast'!$E$11:$E$41),0))</f>
        <v>2.4205669228795107E-2</v>
      </c>
      <c r="L33" s="1077">
        <f>IF(L27&gt;ROUNDUP($H$15,0),0,IFERROR(_xlfn.XLOOKUP(L$26,'Inflation Forecast'!$D$11:$D$41,'Inflation Forecast'!$E$11:$E$41),0))</f>
        <v>2.4347028732102899E-2</v>
      </c>
      <c r="M33" s="1077">
        <f>IF(M27&gt;ROUNDUP($H$15,0),0,IFERROR(_xlfn.XLOOKUP(M$26,'Inflation Forecast'!$D$11:$D$41,'Inflation Forecast'!$E$11:$E$41),0))</f>
        <v>2.4492750710896599E-2</v>
      </c>
      <c r="N33" s="1077">
        <f>IF(N27&gt;ROUNDUP($H$15,0),0,IFERROR(_xlfn.XLOOKUP(N$26,'Inflation Forecast'!$D$11:$D$41,'Inflation Forecast'!$E$11:$E$41),0))</f>
        <v>2.4636113204929672E-2</v>
      </c>
      <c r="O33" s="1077">
        <f>IF(O27&gt;ROUNDUP($H$15,0),0,IFERROR(_xlfn.XLOOKUP(O$26,'Inflation Forecast'!$D$11:$D$41,'Inflation Forecast'!$E$11:$E$41),0))</f>
        <v>2.4773870862678012E-2</v>
      </c>
      <c r="P33" s="1077">
        <f>IF(P27&gt;ROUNDUP($H$15,0),0,IFERROR(_xlfn.XLOOKUP(P$26,'Inflation Forecast'!$D$11:$D$41,'Inflation Forecast'!$E$11:$E$41),0))</f>
        <v>2.4904682991927735E-2</v>
      </c>
      <c r="Q33" s="1077">
        <f>IF(Q27&gt;ROUNDUP($H$15,0),0,IFERROR(_xlfn.XLOOKUP(Q$26,'Inflation Forecast'!$D$11:$D$41,'Inflation Forecast'!$E$11:$E$41),0))</f>
        <v>2.5028012278304597E-2</v>
      </c>
      <c r="R33" s="1077">
        <f>IF(R27&gt;ROUNDUP($H$15,0),0,IFERROR(_xlfn.XLOOKUP(R$26,'Inflation Forecast'!$D$11:$D$41,'Inflation Forecast'!$E$11:$E$41),0))</f>
        <v>2.5143969069297976E-2</v>
      </c>
      <c r="S33" s="1077">
        <f>IF(S27&gt;ROUNDUP($H$15,0),0,IFERROR(_xlfn.XLOOKUP(S$26,'Inflation Forecast'!$D$11:$D$41,'Inflation Forecast'!$E$11:$E$41),0))</f>
        <v>2.5252760218637444E-2</v>
      </c>
      <c r="T33" s="1077">
        <f>IF(T27&gt;ROUNDUP($H$15,0),0,IFERROR(_xlfn.XLOOKUP(T$26,'Inflation Forecast'!$D$11:$D$41,'Inflation Forecast'!$E$11:$E$41),0))</f>
        <v>2.5354747148396535E-2</v>
      </c>
      <c r="U33" s="1077">
        <f>IF(U27&gt;ROUNDUP($H$15,0),0,IFERROR(_xlfn.XLOOKUP(U$26,'Inflation Forecast'!$D$11:$D$41,'Inflation Forecast'!$E$11:$E$41),0))</f>
        <v>2.5450231398694002E-2</v>
      </c>
      <c r="V33" s="1077">
        <f>IF(V27&gt;ROUNDUP($H$15,0),0,IFERROR(_xlfn.XLOOKUP(V$26,'Inflation Forecast'!$D$11:$D$41,'Inflation Forecast'!$E$11:$E$41),0))</f>
        <v>2.5539666499658865E-2</v>
      </c>
      <c r="W33" s="1077">
        <f>IF(W27&gt;ROUNDUP($H$15,0),0,IFERROR(_xlfn.XLOOKUP(W$26,'Inflation Forecast'!$D$11:$D$41,'Inflation Forecast'!$E$11:$E$41),0))</f>
        <v>2.5623400067525535E-2</v>
      </c>
      <c r="X33" s="1077">
        <f>IF(X27&gt;ROUNDUP($H$15,0),0,IFERROR(_xlfn.XLOOKUP(X$26,'Inflation Forecast'!$D$11:$D$41,'Inflation Forecast'!$E$11:$E$41),0))</f>
        <v>2.5701806883835051E-2</v>
      </c>
      <c r="Y33" s="1077">
        <f>IF(Y27&gt;ROUNDUP($H$15,0),0,IFERROR(_xlfn.XLOOKUP(Y$26,'Inflation Forecast'!$D$11:$D$41,'Inflation Forecast'!$E$11:$E$41),0))</f>
        <v>2.5775168410912579E-2</v>
      </c>
      <c r="Z33" s="1077">
        <f>IF(Z27&gt;ROUNDUP($H$15,0),0,IFERROR(_xlfn.XLOOKUP(Z$26,'Inflation Forecast'!$D$11:$D$41,'Inflation Forecast'!$E$11:$E$41),0))</f>
        <v>2.5843858640679843E-2</v>
      </c>
      <c r="AA33" s="1077">
        <f>IF(AA27&gt;ROUNDUP($H$15,0),0,IFERROR(_xlfn.XLOOKUP(AA$26,'Inflation Forecast'!$D$11:$D$41,'Inflation Forecast'!$E$11:$E$41),0))</f>
        <v>2.5908157657386906E-2</v>
      </c>
      <c r="AB33" s="1077">
        <f>IF(AB27&gt;ROUNDUP($H$15,0),0,IFERROR(_xlfn.XLOOKUP(AB$26,'Inflation Forecast'!$D$11:$D$41,'Inflation Forecast'!$E$11:$E$41),0))</f>
        <v>0</v>
      </c>
      <c r="AC33" s="1077">
        <f>IF(AC27&gt;ROUNDUP($H$15,0),0,IFERROR(_xlfn.XLOOKUP(AC$26,'Inflation Forecast'!$D$11:$D$41,'Inflation Forecast'!$E$11:$E$41),0))</f>
        <v>0</v>
      </c>
      <c r="AD33" s="1077">
        <f>IF(AD27&gt;ROUNDUP($H$15,0),0,IFERROR(_xlfn.XLOOKUP(AD$26,'Inflation Forecast'!$D$11:$D$41,'Inflation Forecast'!$E$11:$E$41),0))</f>
        <v>0</v>
      </c>
      <c r="AE33" s="1077">
        <f>IF(AE27&gt;ROUNDUP($H$15,0),0,IFERROR(_xlfn.XLOOKUP(AE$26,'Inflation Forecast'!$D$11:$D$41,'Inflation Forecast'!$E$11:$E$41),0))</f>
        <v>0</v>
      </c>
      <c r="AF33" s="1077">
        <f>IF(AF27&gt;ROUNDUP($H$15,0),0,IFERROR(_xlfn.XLOOKUP(AF$26,'Inflation Forecast'!$D$11:$D$41,'Inflation Forecast'!$E$11:$E$41),0))</f>
        <v>0</v>
      </c>
      <c r="AG33" s="1077">
        <f>IF(AG27&gt;ROUNDUP($H$15,0),0,IFERROR(_xlfn.XLOOKUP(AG$26,'Inflation Forecast'!$D$11:$D$41,'Inflation Forecast'!$E$11:$E$41),0))</f>
        <v>0</v>
      </c>
      <c r="AH33" s="1077">
        <f>IF(AH27&gt;ROUNDUP($H$15,0),0,IFERROR(_xlfn.XLOOKUP(AH$26,'Inflation Forecast'!$D$11:$D$41,'Inflation Forecast'!$E$11:$E$41),0))</f>
        <v>0</v>
      </c>
      <c r="AI33" s="713"/>
      <c r="AJ33" s="1075"/>
      <c r="AK33" s="1075"/>
      <c r="AL33" s="713"/>
      <c r="AM33" s="713"/>
      <c r="AN33" s="713"/>
      <c r="AO33" s="713"/>
      <c r="AP33" s="713"/>
      <c r="AQ33" s="713"/>
      <c r="AR33" s="713"/>
      <c r="AS33" s="713"/>
      <c r="AT33" s="713"/>
      <c r="AU33" s="713"/>
      <c r="AV33" s="713"/>
      <c r="AW33" s="713"/>
      <c r="AX33" s="713"/>
      <c r="AY33" s="713"/>
      <c r="AZ33" s="713"/>
      <c r="BA33" s="713"/>
      <c r="BB33" s="713"/>
      <c r="BC33" s="713"/>
      <c r="BD33" s="713"/>
      <c r="BE33" s="713"/>
      <c r="BF33" s="713"/>
      <c r="BG33" s="713"/>
      <c r="BH33" s="713"/>
      <c r="BI33" s="713"/>
      <c r="BJ33" s="713"/>
      <c r="BK33" s="713"/>
      <c r="BL33" s="713"/>
      <c r="BM33" s="713"/>
      <c r="BN33" s="713"/>
      <c r="BO33" s="713"/>
      <c r="BP33" s="713"/>
      <c r="BQ33" s="713"/>
      <c r="BR33" s="713"/>
      <c r="BS33" s="713"/>
      <c r="BT33" s="713"/>
      <c r="BU33" s="713"/>
      <c r="BV33" s="713"/>
      <c r="BW33" s="713"/>
      <c r="BX33" s="713"/>
      <c r="BY33" s="713"/>
      <c r="BZ33" s="713"/>
      <c r="CA33" s="713"/>
      <c r="CB33" s="713"/>
      <c r="CC33" s="713"/>
      <c r="CD33" s="713"/>
      <c r="CE33" s="713"/>
      <c r="CF33" s="713"/>
      <c r="CG33" s="713"/>
      <c r="CH33" s="713"/>
      <c r="CI33" s="713"/>
      <c r="CJ33" s="713"/>
      <c r="CK33" s="713"/>
      <c r="CL33" s="713"/>
      <c r="CM33" s="713"/>
      <c r="CN33" s="713"/>
      <c r="CO33" s="713"/>
      <c r="CP33" s="713"/>
      <c r="CQ33" s="713"/>
      <c r="CR33" s="713"/>
      <c r="CS33" s="713"/>
      <c r="CT33" s="713"/>
      <c r="CU33" s="713"/>
      <c r="CV33" s="713"/>
      <c r="CW33" s="713"/>
      <c r="CX33" s="713"/>
      <c r="CY33" s="713"/>
      <c r="CZ33" s="713"/>
      <c r="DA33" s="713"/>
      <c r="DB33" s="713"/>
      <c r="DC33" s="713"/>
      <c r="DD33" s="713"/>
      <c r="DE33" s="713"/>
      <c r="DF33" s="713"/>
      <c r="DG33" s="713"/>
      <c r="DH33" s="713"/>
      <c r="DI33" s="713"/>
      <c r="DJ33" s="713"/>
      <c r="DK33" s="713"/>
      <c r="DL33" s="713"/>
      <c r="DM33" s="713"/>
      <c r="DN33" s="713"/>
      <c r="DO33" s="713"/>
      <c r="DP33" s="713"/>
      <c r="DQ33" s="713"/>
      <c r="DR33" s="713"/>
      <c r="DS33" s="713"/>
      <c r="DT33" s="713"/>
      <c r="DU33" s="713"/>
      <c r="DV33" s="713"/>
      <c r="DW33" s="713"/>
      <c r="DX33" s="713"/>
      <c r="DY33" s="713"/>
      <c r="DZ33" s="713"/>
      <c r="EA33" s="713"/>
      <c r="EB33" s="713"/>
      <c r="EC33" s="713"/>
      <c r="ED33" s="713"/>
      <c r="EE33" s="713"/>
      <c r="EF33" s="713"/>
      <c r="EG33" s="713"/>
      <c r="EH33" s="713"/>
      <c r="EI33" s="713"/>
      <c r="EJ33" s="713"/>
      <c r="EK33" s="713"/>
      <c r="EL33" s="713"/>
      <c r="EM33" s="713"/>
      <c r="EN33" s="713"/>
      <c r="EO33" s="713"/>
      <c r="EP33" s="713"/>
      <c r="EQ33" s="713"/>
      <c r="ER33" s="713"/>
      <c r="ES33" s="713"/>
      <c r="ET33" s="713"/>
      <c r="EU33" s="713"/>
      <c r="EV33" s="713"/>
      <c r="EW33" s="713"/>
      <c r="EX33" s="713"/>
      <c r="EY33" s="713"/>
      <c r="EZ33" s="713"/>
      <c r="FA33" s="713"/>
      <c r="FB33" s="713"/>
      <c r="FC33" s="713"/>
      <c r="FD33" s="713"/>
      <c r="FE33" s="713"/>
      <c r="FF33" s="713"/>
      <c r="FG33" s="713"/>
      <c r="FH33" s="713"/>
      <c r="FI33" s="713"/>
      <c r="FJ33" s="713"/>
      <c r="FK33" s="713"/>
      <c r="FL33" s="713"/>
      <c r="FM33" s="713"/>
      <c r="FN33" s="713"/>
      <c r="FO33" s="713"/>
      <c r="FP33" s="713"/>
      <c r="FQ33" s="713"/>
      <c r="FR33" s="713"/>
      <c r="FS33" s="713"/>
      <c r="FT33" s="713"/>
      <c r="FU33" s="713"/>
      <c r="FV33" s="713"/>
      <c r="FW33" s="713"/>
      <c r="FX33" s="713"/>
      <c r="FY33" s="713"/>
      <c r="FZ33" s="713"/>
      <c r="GA33" s="713"/>
      <c r="GB33" s="713"/>
      <c r="GC33" s="713"/>
      <c r="GD33" s="713"/>
      <c r="GE33" s="713"/>
      <c r="GF33" s="713"/>
      <c r="GG33" s="713"/>
      <c r="GH33" s="713"/>
      <c r="GI33" s="713"/>
      <c r="GJ33" s="713"/>
      <c r="GK33" s="713"/>
      <c r="GL33" s="713"/>
      <c r="GM33" s="713"/>
      <c r="GN33" s="713"/>
      <c r="GO33" s="713"/>
      <c r="GP33" s="713"/>
      <c r="GQ33" s="713"/>
      <c r="GR33" s="713"/>
      <c r="GS33" s="713"/>
      <c r="GT33" s="713"/>
      <c r="GU33" s="713"/>
      <c r="GV33" s="713"/>
      <c r="GW33" s="713"/>
      <c r="GX33" s="713"/>
      <c r="GY33" s="713"/>
      <c r="GZ33" s="713"/>
      <c r="HA33" s="713"/>
      <c r="HB33" s="713"/>
      <c r="HC33" s="713"/>
      <c r="HD33" s="713"/>
      <c r="HE33" s="713"/>
      <c r="HF33" s="713"/>
      <c r="HG33" s="713"/>
      <c r="HH33" s="713"/>
      <c r="HI33" s="713"/>
      <c r="HJ33" s="713"/>
      <c r="HK33" s="713"/>
      <c r="HL33" s="713"/>
      <c r="HM33" s="713"/>
      <c r="HN33" s="713"/>
      <c r="HO33" s="713"/>
      <c r="HP33" s="713"/>
      <c r="HQ33" s="713"/>
      <c r="HR33" s="713"/>
      <c r="HS33" s="713"/>
      <c r="HT33" s="713"/>
      <c r="HU33" s="713"/>
      <c r="HV33" s="713"/>
      <c r="HW33" s="713"/>
      <c r="HX33" s="713"/>
      <c r="HY33" s="713"/>
      <c r="HZ33" s="713"/>
      <c r="IA33" s="713"/>
      <c r="IB33" s="713"/>
      <c r="IC33" s="713"/>
      <c r="ID33" s="713"/>
      <c r="IE33" s="713"/>
      <c r="IF33" s="713"/>
      <c r="IG33" s="713"/>
      <c r="IH33" s="713"/>
      <c r="II33" s="713"/>
      <c r="IJ33" s="713"/>
      <c r="IK33" s="713"/>
      <c r="IL33" s="713"/>
      <c r="IM33" s="713"/>
      <c r="IN33" s="713"/>
      <c r="IO33" s="713"/>
      <c r="IP33" s="713"/>
      <c r="IQ33" s="713"/>
      <c r="IR33" s="713"/>
      <c r="IS33" s="713"/>
      <c r="IT33" s="713"/>
      <c r="IU33" s="713"/>
      <c r="IV33" s="713"/>
      <c r="IW33" s="713"/>
      <c r="IX33" s="713"/>
      <c r="IY33" s="713"/>
      <c r="IZ33" s="713"/>
      <c r="JA33" s="713"/>
      <c r="JB33" s="713"/>
      <c r="JC33" s="713"/>
      <c r="JD33" s="713"/>
      <c r="JE33" s="713"/>
      <c r="JF33" s="713"/>
      <c r="JG33" s="713"/>
      <c r="JH33" s="713"/>
      <c r="JI33" s="713"/>
      <c r="JJ33" s="713"/>
      <c r="JK33" s="713"/>
      <c r="JL33" s="713"/>
      <c r="JM33" s="713"/>
      <c r="JN33" s="713"/>
      <c r="JO33" s="713"/>
      <c r="JP33" s="713"/>
      <c r="JQ33" s="713"/>
      <c r="JR33" s="713"/>
      <c r="JS33" s="713"/>
      <c r="JT33" s="713"/>
      <c r="JU33" s="713"/>
      <c r="JV33" s="713"/>
      <c r="JW33" s="713"/>
      <c r="JX33" s="713"/>
      <c r="JY33" s="713"/>
      <c r="JZ33" s="713"/>
      <c r="KA33" s="713"/>
      <c r="KB33" s="713"/>
      <c r="KC33" s="713"/>
      <c r="KD33" s="713"/>
      <c r="KE33" s="713"/>
      <c r="KF33" s="713"/>
      <c r="KG33" s="713"/>
      <c r="KH33" s="713"/>
      <c r="KI33" s="713"/>
      <c r="KJ33" s="713"/>
      <c r="KK33" s="713"/>
      <c r="KL33" s="713"/>
      <c r="KM33" s="713"/>
      <c r="KN33" s="713"/>
      <c r="KO33" s="713"/>
      <c r="KP33" s="713"/>
      <c r="KQ33" s="713"/>
      <c r="KR33" s="713"/>
      <c r="KS33" s="713"/>
      <c r="KT33" s="713"/>
      <c r="KU33" s="713"/>
      <c r="KV33" s="713"/>
      <c r="KW33" s="713"/>
      <c r="KX33" s="713"/>
      <c r="KY33" s="713"/>
      <c r="KZ33" s="713"/>
      <c r="LA33" s="713"/>
      <c r="LB33" s="713"/>
      <c r="LC33" s="713"/>
      <c r="LD33" s="713"/>
      <c r="LE33" s="713"/>
      <c r="LF33" s="713"/>
      <c r="LG33" s="713"/>
      <c r="LH33" s="713"/>
      <c r="LI33" s="713"/>
      <c r="LJ33" s="713"/>
      <c r="LK33" s="713"/>
      <c r="LL33" s="713"/>
      <c r="LM33" s="713"/>
      <c r="LN33" s="713"/>
      <c r="LO33" s="713"/>
      <c r="LP33" s="713"/>
      <c r="LQ33" s="713"/>
      <c r="LR33" s="713"/>
      <c r="LS33" s="713"/>
      <c r="LT33" s="713"/>
      <c r="LU33" s="713"/>
      <c r="LV33" s="713"/>
      <c r="LW33" s="713"/>
      <c r="LX33" s="713"/>
      <c r="LY33" s="713"/>
      <c r="LZ33" s="713"/>
      <c r="MA33" s="713"/>
      <c r="MB33" s="713"/>
      <c r="MC33" s="713"/>
      <c r="MD33" s="713"/>
      <c r="ME33" s="713"/>
      <c r="MF33" s="713"/>
      <c r="MG33" s="713"/>
      <c r="MH33" s="713"/>
      <c r="MI33" s="713"/>
      <c r="MJ33" s="713"/>
      <c r="MK33" s="713"/>
      <c r="ML33" s="713"/>
      <c r="MM33" s="713"/>
      <c r="MN33" s="713"/>
      <c r="MO33" s="713"/>
      <c r="MP33" s="713"/>
      <c r="MQ33" s="713"/>
      <c r="MR33" s="713"/>
      <c r="MS33" s="713"/>
      <c r="MT33" s="713"/>
      <c r="MU33" s="713"/>
      <c r="MV33" s="713"/>
      <c r="MW33" s="713"/>
      <c r="MX33" s="713"/>
      <c r="MY33" s="713"/>
      <c r="MZ33" s="713"/>
      <c r="NA33" s="713"/>
      <c r="NB33" s="713"/>
      <c r="NC33" s="713"/>
      <c r="ND33" s="713"/>
      <c r="NE33" s="713"/>
      <c r="NF33" s="713"/>
      <c r="NG33" s="713"/>
      <c r="NH33" s="713"/>
      <c r="NI33" s="713"/>
      <c r="NJ33" s="713"/>
      <c r="NK33" s="713"/>
      <c r="NL33" s="713"/>
      <c r="NM33" s="713"/>
      <c r="NN33" s="713"/>
      <c r="NO33" s="713"/>
      <c r="NP33" s="713"/>
      <c r="NQ33" s="713"/>
      <c r="NR33" s="713"/>
      <c r="NS33" s="713"/>
      <c r="NT33" s="713"/>
      <c r="NU33" s="713"/>
      <c r="NV33" s="713"/>
      <c r="NW33" s="713"/>
      <c r="NX33" s="713"/>
      <c r="NY33" s="713"/>
      <c r="NZ33" s="713"/>
      <c r="OA33" s="713"/>
      <c r="OB33" s="713"/>
      <c r="OC33" s="713"/>
      <c r="OD33" s="713"/>
      <c r="OE33" s="713"/>
      <c r="OF33" s="713"/>
      <c r="OG33" s="713"/>
      <c r="OH33" s="713"/>
      <c r="OI33" s="713"/>
      <c r="OJ33" s="713"/>
      <c r="OK33" s="713"/>
      <c r="OL33" s="713"/>
      <c r="OM33" s="713"/>
      <c r="ON33" s="713"/>
      <c r="OO33" s="713"/>
      <c r="OP33" s="713"/>
      <c r="OQ33" s="713"/>
      <c r="OR33" s="713"/>
      <c r="OS33" s="713"/>
      <c r="OT33" s="713"/>
      <c r="OU33" s="713"/>
      <c r="OV33" s="713"/>
      <c r="OW33" s="713"/>
      <c r="OX33" s="713"/>
      <c r="OY33" s="713"/>
      <c r="OZ33" s="713"/>
      <c r="PA33" s="713"/>
      <c r="PB33" s="713"/>
      <c r="PC33" s="713"/>
      <c r="PD33" s="713"/>
      <c r="PE33" s="713"/>
      <c r="PF33" s="713"/>
      <c r="PG33" s="713"/>
      <c r="PH33" s="713"/>
      <c r="PI33" s="713"/>
      <c r="PJ33" s="713"/>
      <c r="PK33" s="713"/>
      <c r="PL33" s="713"/>
      <c r="PM33" s="713"/>
      <c r="PN33" s="713"/>
      <c r="PO33" s="713"/>
      <c r="PP33" s="713"/>
      <c r="PQ33" s="713"/>
      <c r="PR33" s="713"/>
      <c r="PS33" s="713"/>
      <c r="PT33" s="713"/>
      <c r="PU33" s="713"/>
      <c r="PV33" s="713"/>
      <c r="PW33" s="713"/>
      <c r="PX33" s="713"/>
      <c r="PY33" s="713"/>
      <c r="PZ33" s="713"/>
      <c r="QA33" s="713"/>
      <c r="QB33" s="713"/>
      <c r="QC33" s="713"/>
      <c r="QD33" s="713"/>
      <c r="QE33" s="713"/>
      <c r="QF33" s="713"/>
      <c r="QG33" s="713"/>
      <c r="QH33" s="713"/>
      <c r="QI33" s="713"/>
      <c r="QJ33" s="713"/>
      <c r="QK33" s="713"/>
      <c r="QL33" s="713"/>
      <c r="QM33" s="713"/>
      <c r="QN33" s="713"/>
      <c r="QO33" s="713"/>
      <c r="QP33" s="713"/>
      <c r="QQ33" s="713"/>
      <c r="QR33" s="713"/>
      <c r="QS33" s="713"/>
      <c r="QT33" s="713"/>
      <c r="QU33" s="713"/>
      <c r="QV33" s="713"/>
      <c r="QW33" s="713"/>
      <c r="QX33" s="713"/>
      <c r="QY33" s="713"/>
      <c r="QZ33" s="713"/>
      <c r="RA33" s="713"/>
      <c r="RB33" s="713"/>
      <c r="RC33" s="713"/>
      <c r="RD33" s="713"/>
      <c r="RE33" s="713"/>
      <c r="RF33" s="713"/>
      <c r="RG33" s="713"/>
      <c r="RH33" s="713"/>
      <c r="RI33" s="713"/>
      <c r="RJ33" s="713"/>
      <c r="RK33" s="713"/>
      <c r="RL33" s="713"/>
      <c r="RM33" s="713"/>
      <c r="RN33" s="713"/>
      <c r="RO33" s="713"/>
      <c r="RP33" s="713"/>
      <c r="RQ33" s="713"/>
      <c r="RR33" s="713"/>
      <c r="RS33" s="713"/>
      <c r="RT33" s="713"/>
      <c r="RU33" s="713"/>
      <c r="RV33" s="713"/>
      <c r="RW33" s="713"/>
      <c r="RX33" s="713"/>
      <c r="RY33" s="713"/>
      <c r="RZ33" s="713"/>
      <c r="SA33" s="713"/>
      <c r="SB33" s="713"/>
      <c r="SC33" s="713"/>
      <c r="SD33" s="713"/>
      <c r="SE33" s="713"/>
      <c r="SF33" s="713"/>
      <c r="SG33" s="713"/>
      <c r="SH33" s="713"/>
      <c r="SI33" s="713"/>
      <c r="SJ33" s="713"/>
      <c r="SK33" s="713"/>
      <c r="SL33" s="713"/>
      <c r="SM33" s="713"/>
      <c r="SN33" s="713"/>
      <c r="SO33" s="713"/>
      <c r="SP33" s="713"/>
      <c r="SQ33" s="713"/>
      <c r="SR33" s="713"/>
      <c r="SS33" s="713"/>
      <c r="ST33" s="713"/>
      <c r="SU33" s="713"/>
      <c r="SV33" s="713"/>
      <c r="SW33" s="713"/>
      <c r="SX33" s="713"/>
      <c r="SY33" s="713"/>
      <c r="SZ33" s="713"/>
      <c r="TA33" s="713"/>
      <c r="TB33" s="713"/>
      <c r="TC33" s="713"/>
      <c r="TD33" s="713"/>
      <c r="TE33" s="713"/>
      <c r="TF33" s="713"/>
      <c r="TG33" s="713"/>
      <c r="TH33" s="713"/>
      <c r="TI33" s="713"/>
      <c r="TJ33" s="713"/>
      <c r="TK33" s="713"/>
      <c r="TL33" s="713"/>
      <c r="TM33" s="713"/>
      <c r="TN33" s="713"/>
      <c r="TO33" s="713"/>
      <c r="TP33" s="713"/>
      <c r="TQ33" s="713"/>
      <c r="TR33" s="713"/>
      <c r="TS33" s="713"/>
      <c r="TT33" s="713"/>
      <c r="TU33" s="713"/>
      <c r="TV33" s="713"/>
      <c r="TW33" s="713"/>
      <c r="TX33" s="713"/>
      <c r="TY33" s="713"/>
      <c r="TZ33" s="713"/>
      <c r="UA33" s="713"/>
      <c r="UB33" s="713"/>
      <c r="UC33" s="713"/>
      <c r="UD33" s="713"/>
      <c r="UE33" s="713"/>
      <c r="UF33" s="713"/>
      <c r="UG33" s="713"/>
      <c r="UH33" s="713"/>
      <c r="UI33" s="713"/>
      <c r="UJ33" s="713"/>
      <c r="UK33" s="713"/>
      <c r="UL33" s="713"/>
      <c r="UM33" s="713"/>
      <c r="UN33" s="713"/>
      <c r="UO33" s="713"/>
      <c r="UP33" s="713"/>
      <c r="UQ33" s="713"/>
      <c r="UR33" s="713"/>
      <c r="US33" s="713"/>
      <c r="UT33" s="713"/>
      <c r="UU33" s="713"/>
      <c r="UV33" s="713"/>
      <c r="UW33" s="713"/>
      <c r="UX33" s="713"/>
      <c r="UY33" s="713"/>
      <c r="UZ33" s="713"/>
      <c r="VA33" s="713"/>
      <c r="VB33" s="713"/>
      <c r="VC33" s="713"/>
      <c r="VD33" s="713"/>
      <c r="VE33" s="713"/>
      <c r="VF33" s="713"/>
      <c r="VG33" s="713"/>
      <c r="VH33" s="713"/>
      <c r="VI33" s="713"/>
      <c r="VJ33" s="713"/>
      <c r="VK33" s="713"/>
      <c r="VL33" s="713"/>
      <c r="VM33" s="713"/>
      <c r="VN33" s="713"/>
      <c r="VO33" s="713"/>
      <c r="VP33" s="713"/>
      <c r="VQ33" s="713"/>
      <c r="VR33" s="713"/>
      <c r="VS33" s="713"/>
      <c r="VT33" s="713"/>
      <c r="VU33" s="713"/>
      <c r="VV33" s="713"/>
      <c r="VW33" s="713"/>
      <c r="VX33" s="713"/>
      <c r="VY33" s="713"/>
      <c r="VZ33" s="713"/>
      <c r="WA33" s="713"/>
      <c r="WB33" s="713"/>
      <c r="WC33" s="713"/>
      <c r="WD33" s="713"/>
      <c r="WE33" s="713"/>
      <c r="WF33" s="713"/>
      <c r="WG33" s="713"/>
      <c r="WH33" s="713"/>
      <c r="WI33" s="713"/>
      <c r="WJ33" s="713"/>
      <c r="WK33" s="713"/>
      <c r="WL33" s="713"/>
      <c r="WM33" s="713"/>
      <c r="WN33" s="713"/>
      <c r="WO33" s="713"/>
      <c r="WP33" s="713"/>
      <c r="WQ33" s="713"/>
      <c r="WR33" s="713"/>
      <c r="WS33" s="713"/>
      <c r="WT33" s="713"/>
      <c r="WU33" s="713"/>
      <c r="WV33" s="713"/>
      <c r="WW33" s="713"/>
      <c r="WX33" s="713"/>
      <c r="WY33" s="713"/>
      <c r="WZ33" s="713"/>
      <c r="XA33" s="713"/>
      <c r="XB33" s="713"/>
      <c r="XC33" s="713"/>
      <c r="XD33" s="713"/>
      <c r="XE33" s="713"/>
      <c r="XF33" s="713"/>
      <c r="XG33" s="713"/>
      <c r="XH33" s="713"/>
      <c r="XI33" s="713"/>
      <c r="XJ33" s="713"/>
      <c r="XK33" s="713"/>
      <c r="XL33" s="713"/>
      <c r="XM33" s="713"/>
      <c r="XN33" s="713"/>
      <c r="XO33" s="713"/>
      <c r="XP33" s="713"/>
      <c r="XQ33" s="713"/>
      <c r="XR33" s="713"/>
      <c r="XS33" s="713"/>
      <c r="XT33" s="713"/>
      <c r="XU33" s="713"/>
      <c r="XV33" s="713"/>
      <c r="XW33" s="713"/>
      <c r="XX33" s="713"/>
      <c r="XY33" s="713"/>
      <c r="XZ33" s="713"/>
      <c r="YA33" s="713"/>
      <c r="YB33" s="713"/>
      <c r="YC33" s="713"/>
      <c r="YD33" s="713"/>
      <c r="YE33" s="713"/>
      <c r="YF33" s="713"/>
      <c r="YG33" s="713"/>
      <c r="YH33" s="713"/>
      <c r="YI33" s="713"/>
      <c r="YJ33" s="713"/>
      <c r="YK33" s="713"/>
      <c r="YL33" s="713"/>
      <c r="YM33" s="713"/>
      <c r="YN33" s="713"/>
      <c r="YO33" s="713"/>
      <c r="YP33" s="713"/>
      <c r="YQ33" s="713"/>
      <c r="YR33" s="713"/>
      <c r="YS33" s="713"/>
      <c r="YT33" s="713"/>
      <c r="YU33" s="713"/>
      <c r="YV33" s="713"/>
      <c r="YW33" s="713"/>
      <c r="YX33" s="713"/>
      <c r="YY33" s="713"/>
      <c r="YZ33" s="713"/>
      <c r="ZA33" s="713"/>
      <c r="ZB33" s="713"/>
      <c r="ZC33" s="713"/>
      <c r="ZD33" s="713"/>
      <c r="ZE33" s="713"/>
      <c r="ZF33" s="713"/>
      <c r="ZG33" s="713"/>
      <c r="ZH33" s="713"/>
      <c r="ZI33" s="713"/>
      <c r="ZJ33" s="713"/>
      <c r="ZK33" s="713"/>
      <c r="ZL33" s="713"/>
      <c r="ZM33" s="713"/>
      <c r="ZN33" s="713"/>
      <c r="ZO33" s="713"/>
      <c r="ZP33" s="713"/>
      <c r="ZQ33" s="713"/>
      <c r="ZR33" s="713"/>
      <c r="ZS33" s="713"/>
      <c r="ZT33" s="713"/>
      <c r="ZU33" s="713"/>
      <c r="ZV33" s="713"/>
      <c r="ZW33" s="713"/>
      <c r="ZX33" s="713"/>
      <c r="ZY33" s="713"/>
      <c r="ZZ33" s="713"/>
      <c r="AAA33" s="713"/>
      <c r="AAB33" s="713"/>
      <c r="AAC33" s="713"/>
      <c r="AAD33" s="713"/>
      <c r="AAE33" s="713"/>
      <c r="AAF33" s="713"/>
      <c r="AAG33" s="713"/>
      <c r="AAH33" s="713"/>
      <c r="AAI33" s="713"/>
      <c r="AAJ33" s="713"/>
      <c r="AAK33" s="713"/>
      <c r="AAL33" s="713"/>
      <c r="AAM33" s="713"/>
      <c r="AAN33" s="713"/>
      <c r="AAO33" s="713"/>
      <c r="AAP33" s="713"/>
      <c r="AAQ33" s="713"/>
      <c r="AAR33" s="713"/>
      <c r="AAS33" s="713"/>
      <c r="AAT33" s="713"/>
      <c r="AAU33" s="713"/>
      <c r="AAV33" s="713"/>
      <c r="AAW33" s="713"/>
      <c r="AAX33" s="713"/>
      <c r="AAY33" s="713"/>
      <c r="AAZ33" s="713"/>
      <c r="ABA33" s="713"/>
      <c r="ABB33" s="713"/>
      <c r="ABC33" s="713"/>
      <c r="ABD33" s="713"/>
      <c r="ABE33" s="713"/>
      <c r="ABF33" s="713"/>
      <c r="ABG33" s="713"/>
      <c r="ABH33" s="713"/>
      <c r="ABI33" s="713"/>
      <c r="ABJ33" s="713"/>
      <c r="ABK33" s="713"/>
      <c r="ABL33" s="713"/>
      <c r="ABM33" s="713"/>
      <c r="ABN33" s="713"/>
      <c r="ABO33" s="713"/>
      <c r="ABP33" s="713"/>
      <c r="ABQ33" s="713"/>
      <c r="ABR33" s="713"/>
      <c r="ABS33" s="713"/>
      <c r="ABT33" s="713"/>
      <c r="ABU33" s="713"/>
      <c r="ABV33" s="713"/>
      <c r="ABW33" s="713"/>
      <c r="ABX33" s="713"/>
      <c r="ABY33" s="713"/>
      <c r="ABZ33" s="713"/>
      <c r="ACA33" s="713"/>
      <c r="ACB33" s="713"/>
      <c r="ACC33" s="713"/>
      <c r="ACD33" s="713"/>
      <c r="ACE33" s="713"/>
      <c r="ACF33" s="713"/>
      <c r="ACG33" s="713"/>
      <c r="ACH33" s="713"/>
      <c r="ACI33" s="713"/>
      <c r="ACJ33" s="713"/>
      <c r="ACK33" s="713"/>
      <c r="ACL33" s="713"/>
      <c r="ACM33" s="713"/>
      <c r="ACN33" s="713"/>
      <c r="ACO33" s="713"/>
      <c r="ACP33" s="713"/>
      <c r="ACQ33" s="713"/>
      <c r="ACR33" s="713"/>
      <c r="ACS33" s="713"/>
      <c r="ACT33" s="713"/>
      <c r="ACU33" s="713"/>
      <c r="ACV33" s="713"/>
      <c r="ACW33" s="713"/>
      <c r="ACX33" s="713"/>
      <c r="ACY33" s="713"/>
      <c r="ACZ33" s="713"/>
      <c r="ADA33" s="713"/>
      <c r="ADB33" s="713"/>
      <c r="ADC33" s="713"/>
      <c r="ADD33" s="713"/>
      <c r="ADE33" s="713"/>
      <c r="ADF33" s="713"/>
      <c r="ADG33" s="713"/>
      <c r="ADH33" s="713"/>
      <c r="ADI33" s="713"/>
      <c r="ADJ33" s="713"/>
      <c r="ADK33" s="713"/>
      <c r="ADL33" s="713"/>
      <c r="ADM33" s="713"/>
      <c r="ADN33" s="713"/>
      <c r="ADO33" s="713"/>
      <c r="ADP33" s="713"/>
      <c r="ADQ33" s="713"/>
      <c r="ADR33" s="713"/>
      <c r="ADS33" s="713"/>
      <c r="ADT33" s="713"/>
      <c r="ADU33" s="713"/>
      <c r="ADV33" s="713"/>
      <c r="ADW33" s="713"/>
      <c r="ADX33" s="713"/>
      <c r="ADY33" s="713"/>
      <c r="ADZ33" s="713"/>
      <c r="AEA33" s="713"/>
      <c r="AEB33" s="713"/>
      <c r="AEC33" s="713"/>
      <c r="AED33" s="713"/>
      <c r="AEE33" s="713"/>
      <c r="AEF33" s="713"/>
      <c r="AEG33" s="713"/>
      <c r="AEH33" s="713"/>
      <c r="AEI33" s="713"/>
      <c r="AEJ33" s="713"/>
      <c r="AEK33" s="713"/>
      <c r="AEL33" s="713"/>
      <c r="AEM33" s="713"/>
      <c r="AEN33" s="713"/>
      <c r="AEO33" s="713"/>
      <c r="AEP33" s="713"/>
      <c r="AEQ33" s="713"/>
      <c r="AER33" s="713"/>
      <c r="AES33" s="713"/>
      <c r="AET33" s="713"/>
      <c r="AEU33" s="713"/>
      <c r="AEV33" s="713"/>
      <c r="AEW33" s="713"/>
      <c r="AEX33" s="713"/>
      <c r="AEY33" s="713"/>
      <c r="AEZ33" s="713"/>
      <c r="AFA33" s="713"/>
      <c r="AFB33" s="713"/>
      <c r="AFC33" s="713"/>
      <c r="AFD33" s="713"/>
      <c r="AFE33" s="713"/>
      <c r="AFF33" s="713"/>
      <c r="AFG33" s="713"/>
      <c r="AFH33" s="713"/>
      <c r="AFI33" s="713"/>
      <c r="AFJ33" s="713"/>
      <c r="AFK33" s="713"/>
      <c r="AFL33" s="713"/>
      <c r="AFM33" s="713"/>
      <c r="AFN33" s="713"/>
      <c r="AFO33" s="713"/>
      <c r="AFP33" s="713"/>
      <c r="AFQ33" s="713"/>
      <c r="AFR33" s="713"/>
      <c r="AFS33" s="713"/>
      <c r="AFT33" s="713"/>
      <c r="AFU33" s="713"/>
      <c r="AFV33" s="713"/>
      <c r="AFW33" s="713"/>
      <c r="AFX33" s="713"/>
      <c r="AFY33" s="713"/>
      <c r="AFZ33" s="713"/>
      <c r="AGA33" s="713"/>
      <c r="AGB33" s="713"/>
      <c r="AGC33" s="713"/>
      <c r="AGD33" s="713"/>
      <c r="AGE33" s="713"/>
      <c r="AGF33" s="713"/>
      <c r="AGG33" s="713"/>
      <c r="AGH33" s="713"/>
      <c r="AGI33" s="713"/>
      <c r="AGJ33" s="713"/>
      <c r="AGK33" s="713"/>
      <c r="AGL33" s="713"/>
      <c r="AGM33" s="713"/>
      <c r="AGN33" s="713"/>
      <c r="AGO33" s="713"/>
      <c r="AGP33" s="713"/>
      <c r="AGQ33" s="713"/>
      <c r="AGR33" s="713"/>
      <c r="AGS33" s="713"/>
      <c r="AGT33" s="713"/>
      <c r="AGU33" s="713"/>
      <c r="AGV33" s="713"/>
      <c r="AGW33" s="713"/>
      <c r="AGX33" s="713"/>
      <c r="AGY33" s="713"/>
      <c r="AGZ33" s="713"/>
      <c r="AHA33" s="713"/>
      <c r="AHB33" s="713"/>
      <c r="AHC33" s="713"/>
      <c r="AHD33" s="713"/>
      <c r="AHE33" s="713"/>
      <c r="AHF33" s="713"/>
      <c r="AHG33" s="713"/>
      <c r="AHH33" s="713"/>
      <c r="AHI33" s="713"/>
      <c r="AHJ33" s="713"/>
      <c r="AHK33" s="713"/>
      <c r="AHL33" s="713"/>
      <c r="AHM33" s="713"/>
      <c r="AHN33" s="713"/>
      <c r="AHO33" s="713"/>
      <c r="AHP33" s="713"/>
      <c r="AHQ33" s="713"/>
      <c r="AHR33" s="713"/>
      <c r="AHS33" s="713"/>
      <c r="AHT33" s="713"/>
      <c r="AHU33" s="713"/>
      <c r="AHV33" s="713"/>
      <c r="AHW33" s="713"/>
      <c r="AHX33" s="713"/>
      <c r="AHY33" s="713"/>
      <c r="AHZ33" s="713"/>
      <c r="AIA33" s="713"/>
      <c r="AIB33" s="713"/>
      <c r="AIC33" s="713"/>
      <c r="AID33" s="713"/>
      <c r="AIE33" s="713"/>
      <c r="AIF33" s="713"/>
      <c r="AIG33" s="713"/>
      <c r="AIH33" s="713"/>
      <c r="AII33" s="713"/>
      <c r="AIJ33" s="713"/>
      <c r="AIK33" s="713"/>
      <c r="AIL33" s="713"/>
      <c r="AIM33" s="713"/>
      <c r="AIN33" s="713"/>
      <c r="AIO33" s="713"/>
      <c r="AIP33" s="713"/>
      <c r="AIQ33" s="713"/>
      <c r="AIR33" s="713"/>
      <c r="AIS33" s="713"/>
      <c r="AIT33" s="713"/>
      <c r="AIU33" s="713"/>
      <c r="AIV33" s="713"/>
      <c r="AIW33" s="713"/>
      <c r="AIX33" s="713"/>
      <c r="AIY33" s="713"/>
      <c r="AIZ33" s="713"/>
      <c r="AJA33" s="713"/>
      <c r="AJB33" s="713"/>
      <c r="AJC33" s="713"/>
      <c r="AJD33" s="713"/>
      <c r="AJE33" s="713"/>
      <c r="AJF33" s="713"/>
      <c r="AJG33" s="713"/>
      <c r="AJH33" s="713"/>
      <c r="AJI33" s="713"/>
      <c r="AJJ33" s="713"/>
      <c r="AJK33" s="713"/>
      <c r="AJL33" s="713"/>
      <c r="AJM33" s="713"/>
      <c r="AJN33" s="713"/>
      <c r="AJO33" s="713"/>
      <c r="AJP33" s="713"/>
      <c r="AJQ33" s="713"/>
      <c r="AJR33" s="713"/>
      <c r="AJS33" s="713"/>
      <c r="AJT33" s="713"/>
      <c r="AJU33" s="713"/>
      <c r="AJV33" s="713"/>
      <c r="AJW33" s="713"/>
      <c r="AJX33" s="713"/>
      <c r="AJY33" s="713"/>
      <c r="AJZ33" s="713"/>
      <c r="AKA33" s="713"/>
      <c r="AKB33" s="713"/>
      <c r="AKC33" s="713"/>
      <c r="AKD33" s="713"/>
      <c r="AKE33" s="713"/>
      <c r="AKF33" s="713"/>
      <c r="AKG33" s="713"/>
      <c r="AKH33" s="713"/>
      <c r="AKI33" s="713"/>
      <c r="AKJ33" s="713"/>
      <c r="AKK33" s="713"/>
      <c r="AKL33" s="713"/>
      <c r="AKM33" s="713"/>
      <c r="AKN33" s="713"/>
      <c r="AKO33" s="713"/>
      <c r="AKP33" s="713"/>
      <c r="AKQ33" s="713"/>
      <c r="AKR33" s="713"/>
      <c r="AKS33" s="713"/>
      <c r="AKT33" s="713"/>
      <c r="AKU33" s="713"/>
      <c r="AKV33" s="713"/>
      <c r="AKW33" s="713"/>
      <c r="AKX33" s="713"/>
      <c r="AKY33" s="713"/>
      <c r="AKZ33" s="713"/>
      <c r="ALA33" s="713"/>
      <c r="ALB33" s="713"/>
      <c r="ALC33" s="713"/>
      <c r="ALD33" s="713"/>
      <c r="ALE33" s="713"/>
      <c r="ALF33" s="713"/>
      <c r="ALG33" s="713"/>
      <c r="ALH33" s="713"/>
      <c r="ALI33" s="713"/>
      <c r="ALJ33" s="713"/>
      <c r="ALK33" s="713"/>
      <c r="ALL33" s="713"/>
      <c r="ALM33" s="713"/>
      <c r="ALN33" s="713"/>
      <c r="ALO33" s="713"/>
      <c r="ALP33" s="713"/>
      <c r="ALQ33" s="713"/>
      <c r="ALR33" s="713"/>
      <c r="ALS33" s="713"/>
      <c r="ALT33" s="713"/>
      <c r="ALU33" s="713"/>
      <c r="ALV33" s="713"/>
      <c r="ALW33" s="713"/>
      <c r="ALX33" s="713"/>
      <c r="ALY33" s="713"/>
      <c r="ALZ33" s="713"/>
      <c r="AMA33" s="713"/>
      <c r="AMB33" s="713"/>
      <c r="AMC33" s="713"/>
      <c r="AMD33" s="713"/>
      <c r="AME33" s="713"/>
      <c r="AMF33" s="713"/>
      <c r="AMG33" s="713"/>
      <c r="AMH33" s="713"/>
      <c r="AMI33" s="713"/>
      <c r="AMJ33" s="713"/>
      <c r="AMK33" s="713"/>
      <c r="AML33" s="713"/>
      <c r="AMM33" s="713"/>
      <c r="AMN33" s="713"/>
      <c r="AMO33" s="713"/>
      <c r="AMP33" s="713"/>
      <c r="AMQ33" s="713"/>
      <c r="AMR33" s="713"/>
      <c r="AMS33" s="713"/>
      <c r="AMT33" s="713"/>
      <c r="AMU33" s="713"/>
      <c r="AMV33" s="713"/>
      <c r="AMW33" s="713"/>
      <c r="AMX33" s="713"/>
      <c r="AMY33" s="713"/>
      <c r="AMZ33" s="713"/>
      <c r="ANA33" s="713"/>
      <c r="ANB33" s="713"/>
      <c r="ANC33" s="713"/>
      <c r="AND33" s="713"/>
      <c r="ANE33" s="713"/>
      <c r="ANF33" s="713"/>
      <c r="ANG33" s="713"/>
      <c r="ANH33" s="713"/>
      <c r="ANI33" s="713"/>
      <c r="ANJ33" s="713"/>
      <c r="ANK33" s="713"/>
      <c r="ANL33" s="713"/>
      <c r="ANM33" s="713"/>
      <c r="ANN33" s="713"/>
      <c r="ANO33" s="713"/>
      <c r="ANP33" s="713"/>
      <c r="ANQ33" s="713"/>
      <c r="ANR33" s="713"/>
      <c r="ANS33" s="713"/>
      <c r="ANT33" s="713"/>
      <c r="ANU33" s="713"/>
      <c r="ANV33" s="713"/>
      <c r="ANW33" s="713"/>
      <c r="ANX33" s="713"/>
      <c r="ANY33" s="713"/>
      <c r="ANZ33" s="713"/>
      <c r="AOA33" s="713"/>
      <c r="AOB33" s="713"/>
      <c r="AOC33" s="713"/>
      <c r="AOD33" s="713"/>
      <c r="AOE33" s="713"/>
      <c r="AOF33" s="713"/>
      <c r="AOG33" s="713"/>
      <c r="AOH33" s="713"/>
      <c r="AOI33" s="713"/>
      <c r="AOJ33" s="713"/>
      <c r="AOK33" s="713"/>
      <c r="AOL33" s="713"/>
      <c r="AOM33" s="713"/>
      <c r="AON33" s="713"/>
      <c r="AOO33" s="713"/>
      <c r="AOP33" s="713"/>
      <c r="AOQ33" s="713"/>
      <c r="AOR33" s="713"/>
      <c r="AOS33" s="713"/>
      <c r="AOT33" s="713"/>
      <c r="AOU33" s="713"/>
      <c r="AOV33" s="713"/>
      <c r="AOW33" s="713"/>
      <c r="AOX33" s="713"/>
      <c r="AOY33" s="713"/>
      <c r="AOZ33" s="713"/>
      <c r="APA33" s="713"/>
      <c r="APB33" s="713"/>
      <c r="APC33" s="713"/>
      <c r="APD33" s="713"/>
      <c r="APE33" s="713"/>
      <c r="APF33" s="713"/>
      <c r="APG33" s="713"/>
      <c r="APH33" s="713"/>
      <c r="API33" s="713"/>
      <c r="APJ33" s="713"/>
      <c r="APK33" s="713"/>
      <c r="APL33" s="713"/>
      <c r="APM33" s="713"/>
      <c r="APN33" s="713"/>
      <c r="APO33" s="713"/>
      <c r="APP33" s="713"/>
      <c r="APQ33" s="713"/>
      <c r="APR33" s="713"/>
      <c r="APS33" s="713"/>
      <c r="APT33" s="713"/>
      <c r="APU33" s="713"/>
      <c r="APV33" s="713"/>
      <c r="APW33" s="713"/>
      <c r="APX33" s="713"/>
      <c r="APY33" s="713"/>
      <c r="APZ33" s="713"/>
      <c r="AQA33" s="713"/>
      <c r="AQB33" s="713"/>
      <c r="AQC33" s="713"/>
      <c r="AQD33" s="713"/>
      <c r="AQE33" s="713"/>
      <c r="AQF33" s="713"/>
      <c r="AQG33" s="713"/>
      <c r="AQH33" s="713"/>
      <c r="AQI33" s="713"/>
      <c r="AQJ33" s="713"/>
      <c r="AQK33" s="713"/>
      <c r="AQL33" s="713"/>
      <c r="AQM33" s="713"/>
      <c r="AQN33" s="713"/>
      <c r="AQO33" s="713"/>
      <c r="AQP33" s="713"/>
      <c r="AQQ33" s="713"/>
      <c r="AQR33" s="713"/>
      <c r="AQS33" s="713"/>
      <c r="AQT33" s="713"/>
      <c r="AQU33" s="713"/>
      <c r="AQV33" s="713"/>
      <c r="AQW33" s="713"/>
      <c r="AQX33" s="713"/>
      <c r="AQY33" s="713"/>
      <c r="AQZ33" s="713"/>
      <c r="ARA33" s="713"/>
      <c r="ARB33" s="713"/>
      <c r="ARC33" s="713"/>
      <c r="ARD33" s="713"/>
      <c r="ARE33" s="713"/>
      <c r="ARF33" s="713"/>
      <c r="ARG33" s="713"/>
      <c r="ARH33" s="713"/>
      <c r="ARI33" s="713"/>
      <c r="ARJ33" s="713"/>
      <c r="ARK33" s="713"/>
      <c r="ARL33" s="713"/>
      <c r="ARM33" s="713"/>
      <c r="ARN33" s="713"/>
      <c r="ARO33" s="713"/>
      <c r="ARP33" s="713"/>
      <c r="ARQ33" s="713"/>
      <c r="ARR33" s="713"/>
      <c r="ARS33" s="713"/>
      <c r="ART33" s="713"/>
      <c r="ARU33" s="713"/>
      <c r="ARV33" s="713"/>
      <c r="ARW33" s="713"/>
      <c r="ARX33" s="713"/>
      <c r="ARY33" s="713"/>
      <c r="ARZ33" s="713"/>
      <c r="ASA33" s="713"/>
      <c r="ASB33" s="713"/>
      <c r="ASC33" s="713"/>
      <c r="ASD33" s="713"/>
      <c r="ASE33" s="713"/>
      <c r="ASF33" s="713"/>
      <c r="ASG33" s="713"/>
      <c r="ASH33" s="713"/>
      <c r="ASI33" s="713"/>
      <c r="ASJ33" s="713"/>
      <c r="ASK33" s="713"/>
      <c r="ASL33" s="713"/>
      <c r="ASM33" s="713"/>
      <c r="ASN33" s="713"/>
      <c r="ASO33" s="713"/>
      <c r="ASP33" s="713"/>
      <c r="ASQ33" s="713"/>
      <c r="ASR33" s="713"/>
      <c r="ASS33" s="713"/>
      <c r="AST33" s="713"/>
      <c r="ASU33" s="713"/>
      <c r="ASV33" s="713"/>
      <c r="ASW33" s="713"/>
      <c r="ASX33" s="713"/>
      <c r="ASY33" s="713"/>
      <c r="ASZ33" s="713"/>
      <c r="ATA33" s="713"/>
      <c r="ATB33" s="713"/>
      <c r="ATC33" s="713"/>
      <c r="ATD33" s="713"/>
      <c r="ATE33" s="713"/>
      <c r="ATF33" s="713"/>
      <c r="ATG33" s="713"/>
      <c r="ATH33" s="713"/>
      <c r="ATI33" s="713"/>
      <c r="ATJ33" s="713"/>
      <c r="ATK33" s="713"/>
      <c r="ATL33" s="713"/>
      <c r="ATM33" s="713"/>
      <c r="ATN33" s="713"/>
      <c r="ATO33" s="713"/>
      <c r="ATP33" s="713"/>
      <c r="ATQ33" s="713"/>
      <c r="ATR33" s="713"/>
      <c r="ATS33" s="713"/>
      <c r="ATT33" s="713"/>
      <c r="ATU33" s="713"/>
      <c r="ATV33" s="713"/>
      <c r="ATW33" s="713"/>
      <c r="ATX33" s="713"/>
      <c r="ATY33" s="713"/>
      <c r="ATZ33" s="713"/>
      <c r="AUA33" s="713"/>
      <c r="AUB33" s="713"/>
      <c r="AUC33" s="713"/>
      <c r="AUD33" s="713"/>
      <c r="AUE33" s="713"/>
      <c r="AUF33" s="713"/>
      <c r="AUG33" s="713"/>
      <c r="AUH33" s="713"/>
      <c r="AUI33" s="713"/>
      <c r="AUJ33" s="713"/>
      <c r="AUK33" s="713"/>
      <c r="AUL33" s="713"/>
      <c r="AUM33" s="713"/>
      <c r="AUN33" s="713"/>
      <c r="AUO33" s="713"/>
      <c r="AUP33" s="713"/>
      <c r="AUQ33" s="713"/>
      <c r="AUR33" s="713"/>
      <c r="AUS33" s="713"/>
      <c r="AUT33" s="713"/>
      <c r="AUU33" s="713"/>
      <c r="AUV33" s="713"/>
      <c r="AUW33" s="713"/>
      <c r="AUX33" s="713"/>
      <c r="AUY33" s="713"/>
      <c r="AUZ33" s="713"/>
      <c r="AVA33" s="713"/>
      <c r="AVB33" s="713"/>
      <c r="AVC33" s="713"/>
      <c r="AVD33" s="713"/>
      <c r="AVE33" s="713"/>
      <c r="AVF33" s="713"/>
      <c r="AVG33" s="713"/>
      <c r="AVH33" s="713"/>
      <c r="AVI33" s="713"/>
      <c r="AVJ33" s="713"/>
      <c r="AVK33" s="713"/>
      <c r="AVL33" s="713"/>
      <c r="AVM33" s="713"/>
      <c r="AVN33" s="713"/>
      <c r="AVO33" s="713"/>
      <c r="AVP33" s="713"/>
      <c r="AVQ33" s="713"/>
      <c r="AVR33" s="713"/>
      <c r="AVS33" s="713"/>
      <c r="AVT33" s="713"/>
      <c r="AVU33" s="713"/>
      <c r="AVV33" s="713"/>
      <c r="AVW33" s="713"/>
      <c r="AVX33" s="713"/>
      <c r="AVY33" s="713"/>
      <c r="AVZ33" s="713"/>
      <c r="AWA33" s="713"/>
      <c r="AWB33" s="713"/>
      <c r="AWC33" s="713"/>
      <c r="AWD33" s="713"/>
      <c r="AWE33" s="713"/>
      <c r="AWF33" s="713"/>
      <c r="AWG33" s="713"/>
      <c r="AWH33" s="713"/>
      <c r="AWI33" s="713"/>
      <c r="AWJ33" s="713"/>
      <c r="AWK33" s="713"/>
      <c r="AWL33" s="713"/>
      <c r="AWM33" s="713"/>
      <c r="AWN33" s="713"/>
      <c r="AWO33" s="713"/>
      <c r="AWP33" s="713"/>
      <c r="AWQ33" s="713"/>
      <c r="AWR33" s="713"/>
      <c r="AWS33" s="713"/>
      <c r="AWT33" s="713"/>
      <c r="AWU33" s="713"/>
      <c r="AWV33" s="713"/>
      <c r="AWW33" s="713"/>
      <c r="AWX33" s="713"/>
      <c r="AWY33" s="713"/>
      <c r="AWZ33" s="713"/>
      <c r="AXA33" s="713"/>
      <c r="AXB33" s="713"/>
      <c r="AXC33" s="713"/>
      <c r="AXD33" s="713"/>
      <c r="AXE33" s="713"/>
      <c r="AXF33" s="713"/>
      <c r="AXG33" s="713"/>
      <c r="AXH33" s="713"/>
      <c r="AXI33" s="713"/>
      <c r="AXJ33" s="713"/>
      <c r="AXK33" s="713"/>
      <c r="AXL33" s="713"/>
      <c r="AXM33" s="713"/>
      <c r="AXN33" s="713"/>
      <c r="AXO33" s="713"/>
      <c r="AXP33" s="713"/>
      <c r="AXQ33" s="713"/>
      <c r="AXR33" s="713"/>
      <c r="AXS33" s="713"/>
      <c r="AXT33" s="713"/>
      <c r="AXU33" s="713"/>
      <c r="AXV33" s="713"/>
      <c r="AXW33" s="713"/>
      <c r="AXX33" s="713"/>
      <c r="AXY33" s="713"/>
      <c r="AXZ33" s="713"/>
      <c r="AYA33" s="713"/>
      <c r="AYB33" s="713"/>
      <c r="AYC33" s="713"/>
      <c r="AYD33" s="713"/>
      <c r="AYE33" s="713"/>
      <c r="AYF33" s="713"/>
      <c r="AYG33" s="713"/>
      <c r="AYH33" s="713"/>
      <c r="AYI33" s="713"/>
      <c r="AYJ33" s="713"/>
      <c r="AYK33" s="713"/>
      <c r="AYL33" s="713"/>
      <c r="AYM33" s="713"/>
      <c r="AYN33" s="713"/>
      <c r="AYO33" s="713"/>
      <c r="AYP33" s="713"/>
      <c r="AYQ33" s="713"/>
      <c r="AYR33" s="713"/>
      <c r="AYS33" s="713"/>
      <c r="AYT33" s="713"/>
      <c r="AYU33" s="713"/>
      <c r="AYV33" s="713"/>
      <c r="AYW33" s="713"/>
      <c r="AYX33" s="713"/>
      <c r="AYY33" s="713"/>
      <c r="AYZ33" s="713"/>
      <c r="AZA33" s="713"/>
      <c r="AZB33" s="713"/>
      <c r="AZC33" s="713"/>
      <c r="AZD33" s="713"/>
      <c r="AZE33" s="713"/>
      <c r="AZF33" s="713"/>
      <c r="AZG33" s="713"/>
      <c r="AZH33" s="713"/>
      <c r="AZI33" s="713"/>
      <c r="AZJ33" s="713"/>
      <c r="AZK33" s="713"/>
      <c r="AZL33" s="713"/>
      <c r="AZM33" s="713"/>
      <c r="AZN33" s="713"/>
      <c r="AZO33" s="713"/>
      <c r="AZP33" s="713"/>
      <c r="AZQ33" s="713"/>
      <c r="AZR33" s="713"/>
      <c r="AZS33" s="713"/>
      <c r="AZT33" s="713"/>
      <c r="AZU33" s="713"/>
      <c r="AZV33" s="713"/>
      <c r="AZW33" s="713"/>
      <c r="AZX33" s="713"/>
      <c r="AZY33" s="713"/>
      <c r="AZZ33" s="713"/>
      <c r="BAA33" s="713"/>
      <c r="BAB33" s="713"/>
      <c r="BAC33" s="713"/>
      <c r="BAD33" s="713"/>
      <c r="BAE33" s="713"/>
      <c r="BAF33" s="713"/>
      <c r="BAG33" s="713"/>
      <c r="BAH33" s="713"/>
      <c r="BAI33" s="713"/>
      <c r="BAJ33" s="713"/>
      <c r="BAK33" s="713"/>
      <c r="BAL33" s="713"/>
      <c r="BAM33" s="713"/>
      <c r="BAN33" s="713"/>
      <c r="BAO33" s="713"/>
      <c r="BAP33" s="713"/>
      <c r="BAQ33" s="713"/>
      <c r="BAR33" s="713"/>
      <c r="BAS33" s="713"/>
      <c r="BAT33" s="713"/>
      <c r="BAU33" s="713"/>
      <c r="BAV33" s="713"/>
      <c r="BAW33" s="713"/>
      <c r="BAX33" s="713"/>
      <c r="BAY33" s="713"/>
      <c r="BAZ33" s="713"/>
      <c r="BBA33" s="713"/>
      <c r="BBB33" s="713"/>
      <c r="BBC33" s="713"/>
      <c r="BBD33" s="713"/>
      <c r="BBE33" s="713"/>
      <c r="BBF33" s="713"/>
      <c r="BBG33" s="713"/>
      <c r="BBH33" s="713"/>
      <c r="BBI33" s="713"/>
      <c r="BBJ33" s="713"/>
      <c r="BBK33" s="713"/>
      <c r="BBL33" s="713"/>
      <c r="BBM33" s="713"/>
      <c r="BBN33" s="713"/>
      <c r="BBO33" s="713"/>
      <c r="BBP33" s="713"/>
      <c r="BBQ33" s="713"/>
      <c r="BBR33" s="713"/>
      <c r="BBS33" s="713"/>
      <c r="BBT33" s="713"/>
      <c r="BBU33" s="713"/>
      <c r="BBV33" s="713"/>
      <c r="BBW33" s="713"/>
      <c r="BBX33" s="713"/>
      <c r="BBY33" s="713"/>
      <c r="BBZ33" s="713"/>
      <c r="BCA33" s="713"/>
      <c r="BCB33" s="713"/>
      <c r="BCC33" s="713"/>
      <c r="BCD33" s="713"/>
      <c r="BCE33" s="713"/>
      <c r="BCF33" s="713"/>
      <c r="BCG33" s="713"/>
      <c r="BCH33" s="713"/>
      <c r="BCI33" s="713"/>
      <c r="BCJ33" s="713"/>
      <c r="BCK33" s="713"/>
      <c r="BCL33" s="713"/>
      <c r="BCM33" s="713"/>
      <c r="BCN33" s="713"/>
      <c r="BCO33" s="713"/>
      <c r="BCP33" s="713"/>
      <c r="BCQ33" s="713"/>
      <c r="BCR33" s="713"/>
      <c r="BCS33" s="713"/>
      <c r="BCT33" s="713"/>
      <c r="BCU33" s="713"/>
      <c r="BCV33" s="713"/>
      <c r="BCW33" s="713"/>
      <c r="BCX33" s="713"/>
      <c r="BCY33" s="713"/>
      <c r="BCZ33" s="713"/>
      <c r="BDA33" s="713"/>
      <c r="BDB33" s="713"/>
      <c r="BDC33" s="713"/>
      <c r="BDD33" s="713"/>
      <c r="BDE33" s="713"/>
      <c r="BDF33" s="713"/>
      <c r="BDG33" s="713"/>
      <c r="BDH33" s="713"/>
      <c r="BDI33" s="713"/>
      <c r="BDJ33" s="713"/>
      <c r="BDK33" s="713"/>
      <c r="BDL33" s="713"/>
      <c r="BDM33" s="713"/>
      <c r="BDN33" s="713"/>
      <c r="BDO33" s="713"/>
      <c r="BDP33" s="713"/>
      <c r="BDQ33" s="713"/>
      <c r="BDR33" s="713"/>
      <c r="BDS33" s="713"/>
      <c r="BDT33" s="713"/>
      <c r="BDU33" s="713"/>
      <c r="BDV33" s="713"/>
      <c r="BDW33" s="713"/>
      <c r="BDX33" s="713"/>
      <c r="BDY33" s="713"/>
      <c r="BDZ33" s="713"/>
      <c r="BEA33" s="713"/>
      <c r="BEB33" s="713"/>
      <c r="BEC33" s="713"/>
      <c r="BED33" s="713"/>
      <c r="BEE33" s="713"/>
      <c r="BEF33" s="713"/>
      <c r="BEG33" s="713"/>
      <c r="BEH33" s="713"/>
      <c r="BEI33" s="713"/>
      <c r="BEJ33" s="713"/>
      <c r="BEK33" s="713"/>
      <c r="BEL33" s="713"/>
      <c r="BEM33" s="713"/>
      <c r="BEN33" s="713"/>
      <c r="BEO33" s="713"/>
      <c r="BEP33" s="713"/>
      <c r="BEQ33" s="713"/>
      <c r="BER33" s="713"/>
      <c r="BES33" s="713"/>
      <c r="BET33" s="713"/>
      <c r="BEU33" s="713"/>
      <c r="BEV33" s="713"/>
      <c r="BEW33" s="713"/>
      <c r="BEX33" s="713"/>
      <c r="BEY33" s="713"/>
      <c r="BEZ33" s="713"/>
      <c r="BFA33" s="713"/>
      <c r="BFB33" s="713"/>
      <c r="BFC33" s="713"/>
      <c r="BFD33" s="713"/>
      <c r="BFE33" s="713"/>
      <c r="BFF33" s="713"/>
      <c r="BFG33" s="713"/>
      <c r="BFH33" s="713"/>
      <c r="BFI33" s="713"/>
      <c r="BFJ33" s="713"/>
      <c r="BFK33" s="713"/>
      <c r="BFL33" s="713"/>
      <c r="BFM33" s="713"/>
      <c r="BFN33" s="713"/>
      <c r="BFO33" s="713"/>
      <c r="BFP33" s="713"/>
      <c r="BFQ33" s="713"/>
      <c r="BFR33" s="713"/>
      <c r="BFS33" s="713"/>
      <c r="BFT33" s="713"/>
      <c r="BFU33" s="713"/>
      <c r="BFV33" s="713"/>
      <c r="BFW33" s="713"/>
      <c r="BFX33" s="713"/>
      <c r="BFY33" s="713"/>
      <c r="BFZ33" s="713"/>
      <c r="BGA33" s="713"/>
      <c r="BGB33" s="713"/>
      <c r="BGC33" s="713"/>
      <c r="BGD33" s="713"/>
      <c r="BGE33" s="713"/>
      <c r="BGF33" s="713"/>
      <c r="BGG33" s="713"/>
      <c r="BGH33" s="713"/>
      <c r="BGI33" s="713"/>
      <c r="BGJ33" s="713"/>
      <c r="BGK33" s="713"/>
      <c r="BGL33" s="713"/>
      <c r="BGM33" s="713"/>
      <c r="BGN33" s="713"/>
      <c r="BGO33" s="713"/>
      <c r="BGP33" s="713"/>
      <c r="BGQ33" s="713"/>
      <c r="BGR33" s="713"/>
      <c r="BGS33" s="713"/>
      <c r="BGT33" s="713"/>
      <c r="BGU33" s="713"/>
      <c r="BGV33" s="713"/>
      <c r="BGW33" s="713"/>
      <c r="BGX33" s="713"/>
      <c r="BGY33" s="713"/>
      <c r="BGZ33" s="713"/>
      <c r="BHA33" s="713"/>
      <c r="BHB33" s="713"/>
      <c r="BHC33" s="713"/>
      <c r="BHD33" s="713"/>
      <c r="BHE33" s="713"/>
      <c r="BHF33" s="713"/>
      <c r="BHG33" s="713"/>
      <c r="BHH33" s="713"/>
      <c r="BHI33" s="713"/>
      <c r="BHJ33" s="713"/>
      <c r="BHK33" s="713"/>
      <c r="BHL33" s="713"/>
      <c r="BHM33" s="713"/>
      <c r="BHN33" s="713"/>
      <c r="BHO33" s="713"/>
      <c r="BHP33" s="713"/>
      <c r="BHQ33" s="713"/>
      <c r="BHR33" s="713"/>
      <c r="BHS33" s="713"/>
      <c r="BHT33" s="713"/>
      <c r="BHU33" s="713"/>
      <c r="BHV33" s="713"/>
      <c r="BHW33" s="713"/>
      <c r="BHX33" s="713"/>
      <c r="BHY33" s="713"/>
      <c r="BHZ33" s="713"/>
      <c r="BIA33" s="713"/>
      <c r="BIB33" s="713"/>
      <c r="BIC33" s="713"/>
      <c r="BID33" s="713"/>
      <c r="BIE33" s="713"/>
      <c r="BIF33" s="713"/>
      <c r="BIG33" s="713"/>
      <c r="BIH33" s="713"/>
      <c r="BII33" s="713"/>
      <c r="BIJ33" s="713"/>
      <c r="BIK33" s="713"/>
      <c r="BIL33" s="713"/>
      <c r="BIM33" s="713"/>
      <c r="BIN33" s="713"/>
      <c r="BIO33" s="713"/>
      <c r="BIP33" s="713"/>
      <c r="BIQ33" s="713"/>
      <c r="BIR33" s="713"/>
      <c r="BIS33" s="713"/>
      <c r="BIT33" s="713"/>
      <c r="BIU33" s="713"/>
      <c r="BIV33" s="713"/>
      <c r="BIW33" s="713"/>
      <c r="BIX33" s="713"/>
      <c r="BIY33" s="713"/>
      <c r="BIZ33" s="713"/>
      <c r="BJA33" s="713"/>
      <c r="BJB33" s="713"/>
      <c r="BJC33" s="713"/>
      <c r="BJD33" s="713"/>
      <c r="BJE33" s="713"/>
      <c r="BJF33" s="713"/>
      <c r="BJG33" s="713"/>
      <c r="BJH33" s="713"/>
      <c r="BJI33" s="713"/>
      <c r="BJJ33" s="713"/>
      <c r="BJK33" s="713"/>
      <c r="BJL33" s="713"/>
      <c r="BJM33" s="713"/>
      <c r="BJN33" s="713"/>
      <c r="BJO33" s="713"/>
      <c r="BJP33" s="713"/>
      <c r="BJQ33" s="713"/>
      <c r="BJR33" s="713"/>
      <c r="BJS33" s="713"/>
      <c r="BJT33" s="713"/>
      <c r="BJU33" s="713"/>
      <c r="BJV33" s="713"/>
      <c r="BJW33" s="713"/>
      <c r="BJX33" s="713"/>
      <c r="BJY33" s="713"/>
      <c r="BJZ33" s="713"/>
      <c r="BKA33" s="713"/>
      <c r="BKB33" s="713"/>
      <c r="BKC33" s="713"/>
      <c r="BKD33" s="713"/>
      <c r="BKE33" s="713"/>
      <c r="BKF33" s="713"/>
      <c r="BKG33" s="713"/>
      <c r="BKH33" s="713"/>
      <c r="BKI33" s="713"/>
      <c r="BKJ33" s="713"/>
      <c r="BKK33" s="713"/>
      <c r="BKL33" s="713"/>
      <c r="BKM33" s="713"/>
      <c r="BKN33" s="713"/>
      <c r="BKO33" s="713"/>
      <c r="BKP33" s="713"/>
      <c r="BKQ33" s="713"/>
      <c r="BKR33" s="713"/>
      <c r="BKS33" s="713"/>
      <c r="BKT33" s="713"/>
      <c r="BKU33" s="713"/>
      <c r="BKV33" s="713"/>
      <c r="BKW33" s="713"/>
      <c r="BKX33" s="713"/>
      <c r="BKY33" s="713"/>
      <c r="BKZ33" s="713"/>
      <c r="BLA33" s="713"/>
      <c r="BLB33" s="713"/>
      <c r="BLC33" s="713"/>
      <c r="BLD33" s="713"/>
      <c r="BLE33" s="713"/>
      <c r="BLF33" s="713"/>
      <c r="BLG33" s="713"/>
      <c r="BLH33" s="713"/>
      <c r="BLI33" s="713"/>
      <c r="BLJ33" s="713"/>
      <c r="BLK33" s="713"/>
      <c r="BLL33" s="713"/>
      <c r="BLM33" s="713"/>
      <c r="BLN33" s="713"/>
      <c r="BLO33" s="713"/>
      <c r="BLP33" s="713"/>
      <c r="BLQ33" s="713"/>
      <c r="BLR33" s="713"/>
      <c r="BLS33" s="713"/>
      <c r="BLT33" s="713"/>
      <c r="BLU33" s="713"/>
      <c r="BLV33" s="713"/>
      <c r="BLW33" s="713"/>
      <c r="BLX33" s="713"/>
      <c r="BLY33" s="713"/>
      <c r="BLZ33" s="713"/>
      <c r="BMA33" s="713"/>
      <c r="BMB33" s="713"/>
      <c r="BMC33" s="713"/>
      <c r="BMD33" s="713"/>
      <c r="BME33" s="713"/>
      <c r="BMF33" s="713"/>
      <c r="BMG33" s="713"/>
      <c r="BMH33" s="713"/>
      <c r="BMI33" s="713"/>
      <c r="BMJ33" s="713"/>
      <c r="BMK33" s="713"/>
      <c r="BML33" s="713"/>
      <c r="BMM33" s="713"/>
      <c r="BMN33" s="713"/>
      <c r="BMO33" s="713"/>
      <c r="BMP33" s="713"/>
      <c r="BMQ33" s="713"/>
      <c r="BMR33" s="713"/>
      <c r="BMS33" s="713"/>
      <c r="BMT33" s="713"/>
      <c r="BMU33" s="713"/>
      <c r="BMV33" s="713"/>
      <c r="BMW33" s="713"/>
      <c r="BMX33" s="713"/>
      <c r="BMY33" s="713"/>
      <c r="BMZ33" s="713"/>
      <c r="BNA33" s="713"/>
      <c r="BNB33" s="713"/>
      <c r="BNC33" s="713"/>
      <c r="BND33" s="713"/>
      <c r="BNE33" s="713"/>
      <c r="BNF33" s="713"/>
      <c r="BNG33" s="713"/>
      <c r="BNH33" s="713"/>
      <c r="BNI33" s="713"/>
      <c r="BNJ33" s="713"/>
      <c r="BNK33" s="713"/>
      <c r="BNL33" s="713"/>
      <c r="BNM33" s="713"/>
      <c r="BNN33" s="713"/>
      <c r="BNO33" s="713"/>
      <c r="BNP33" s="713"/>
      <c r="BNQ33" s="713"/>
      <c r="BNR33" s="713"/>
      <c r="BNS33" s="713"/>
      <c r="BNT33" s="713"/>
      <c r="BNU33" s="713"/>
      <c r="BNV33" s="713"/>
      <c r="BNW33" s="713"/>
      <c r="BNX33" s="713"/>
      <c r="BNY33" s="713"/>
      <c r="BNZ33" s="713"/>
      <c r="BOA33" s="713"/>
      <c r="BOB33" s="713"/>
      <c r="BOC33" s="713"/>
      <c r="BOD33" s="713"/>
      <c r="BOE33" s="713"/>
      <c r="BOF33" s="713"/>
      <c r="BOG33" s="713"/>
      <c r="BOH33" s="713"/>
      <c r="BOI33" s="713"/>
      <c r="BOJ33" s="713"/>
      <c r="BOK33" s="713"/>
      <c r="BOL33" s="713"/>
      <c r="BOM33" s="713"/>
      <c r="BON33" s="713"/>
      <c r="BOO33" s="713"/>
      <c r="BOP33" s="713"/>
      <c r="BOQ33" s="713"/>
      <c r="BOR33" s="713"/>
      <c r="BOS33" s="713"/>
      <c r="BOT33" s="713"/>
      <c r="BOU33" s="713"/>
      <c r="BOV33" s="713"/>
      <c r="BOW33" s="713"/>
      <c r="BOX33" s="713"/>
      <c r="BOY33" s="713"/>
      <c r="BOZ33" s="713"/>
      <c r="BPA33" s="713"/>
      <c r="BPB33" s="713"/>
      <c r="BPC33" s="713"/>
      <c r="BPD33" s="713"/>
      <c r="BPE33" s="713"/>
      <c r="BPF33" s="713"/>
      <c r="BPG33" s="713"/>
      <c r="BPH33" s="713"/>
      <c r="BPI33" s="713"/>
      <c r="BPJ33" s="713"/>
      <c r="BPK33" s="713"/>
      <c r="BPL33" s="713"/>
      <c r="BPM33" s="713"/>
      <c r="BPN33" s="713"/>
      <c r="BPO33" s="713"/>
      <c r="BPP33" s="713"/>
      <c r="BPQ33" s="713"/>
      <c r="BPR33" s="713"/>
      <c r="BPS33" s="713"/>
      <c r="BPT33" s="713"/>
      <c r="BPU33" s="713"/>
      <c r="BPV33" s="713"/>
      <c r="BPW33" s="713"/>
      <c r="BPX33" s="713"/>
      <c r="BPY33" s="713"/>
      <c r="BPZ33" s="713"/>
      <c r="BQA33" s="713"/>
      <c r="BQB33" s="713"/>
      <c r="BQC33" s="713"/>
      <c r="BQD33" s="713"/>
      <c r="BQE33" s="713"/>
      <c r="BQF33" s="713"/>
      <c r="BQG33" s="713"/>
      <c r="BQH33" s="713"/>
      <c r="BQI33" s="713"/>
      <c r="BQJ33" s="713"/>
      <c r="BQK33" s="713"/>
      <c r="BQL33" s="713"/>
      <c r="BQM33" s="713"/>
      <c r="BQN33" s="713"/>
      <c r="BQO33" s="713"/>
      <c r="BQP33" s="713"/>
      <c r="BQQ33" s="713"/>
      <c r="BQR33" s="713"/>
      <c r="BQS33" s="713"/>
      <c r="BQT33" s="713"/>
      <c r="BQU33" s="713"/>
      <c r="BQV33" s="713"/>
      <c r="BQW33" s="713"/>
      <c r="BQX33" s="713"/>
      <c r="BQY33" s="713"/>
      <c r="BQZ33" s="713"/>
      <c r="BRA33" s="713"/>
      <c r="BRB33" s="713"/>
      <c r="BRC33" s="713"/>
      <c r="BRD33" s="713"/>
      <c r="BRE33" s="713"/>
      <c r="BRF33" s="713"/>
      <c r="BRG33" s="713"/>
      <c r="BRH33" s="713"/>
      <c r="BRI33" s="713"/>
      <c r="BRJ33" s="713"/>
      <c r="BRK33" s="713"/>
      <c r="BRL33" s="713"/>
      <c r="BRM33" s="713"/>
      <c r="BRN33" s="713"/>
      <c r="BRO33" s="713"/>
      <c r="BRP33" s="713"/>
      <c r="BRQ33" s="713"/>
      <c r="BRR33" s="713"/>
      <c r="BRS33" s="713"/>
      <c r="BRT33" s="713"/>
      <c r="BRU33" s="713"/>
      <c r="BRV33" s="713"/>
      <c r="BRW33" s="713"/>
      <c r="BRX33" s="713"/>
      <c r="BRY33" s="713"/>
      <c r="BRZ33" s="713"/>
      <c r="BSA33" s="713"/>
      <c r="BSB33" s="713"/>
      <c r="BSC33" s="713"/>
      <c r="BSD33" s="713"/>
      <c r="BSE33" s="713"/>
      <c r="BSF33" s="713"/>
      <c r="BSG33" s="713"/>
      <c r="BSH33" s="713"/>
      <c r="BSI33" s="713"/>
      <c r="BSJ33" s="713"/>
      <c r="BSK33" s="713"/>
      <c r="BSL33" s="713"/>
      <c r="BSM33" s="713"/>
      <c r="BSN33" s="713"/>
      <c r="BSO33" s="713"/>
      <c r="BSP33" s="713"/>
      <c r="BSQ33" s="713"/>
      <c r="BSR33" s="713"/>
      <c r="BSS33" s="713"/>
      <c r="BST33" s="713"/>
      <c r="BSU33" s="713"/>
      <c r="BSV33" s="713"/>
      <c r="BSW33" s="713"/>
      <c r="BSX33" s="713"/>
      <c r="BSY33" s="713"/>
      <c r="BSZ33" s="713"/>
      <c r="BTA33" s="713"/>
      <c r="BTB33" s="713"/>
      <c r="BTC33" s="713"/>
      <c r="BTD33" s="713"/>
      <c r="BTE33" s="713"/>
      <c r="BTF33" s="713"/>
      <c r="BTG33" s="713"/>
      <c r="BTH33" s="713"/>
      <c r="BTI33" s="713"/>
      <c r="BTJ33" s="713"/>
      <c r="BTK33" s="713"/>
      <c r="BTL33" s="713"/>
      <c r="BTM33" s="713"/>
      <c r="BTN33" s="713"/>
      <c r="BTO33" s="713"/>
      <c r="BTP33" s="713"/>
      <c r="BTQ33" s="713"/>
      <c r="BTR33" s="713"/>
      <c r="BTS33" s="713"/>
      <c r="BTT33" s="713"/>
      <c r="BTU33" s="713"/>
      <c r="BTV33" s="713"/>
      <c r="BTW33" s="713"/>
      <c r="BTX33" s="713"/>
      <c r="BTY33" s="713"/>
      <c r="BTZ33" s="713"/>
      <c r="BUA33" s="713"/>
      <c r="BUB33" s="713"/>
      <c r="BUC33" s="713"/>
      <c r="BUD33" s="713"/>
      <c r="BUE33" s="713"/>
      <c r="BUF33" s="713"/>
      <c r="BUG33" s="713"/>
      <c r="BUH33" s="713"/>
      <c r="BUI33" s="713"/>
      <c r="BUJ33" s="713"/>
      <c r="BUK33" s="713"/>
      <c r="BUL33" s="713"/>
      <c r="BUM33" s="713"/>
      <c r="BUN33" s="713"/>
      <c r="BUO33" s="713"/>
      <c r="BUP33" s="713"/>
      <c r="BUQ33" s="713"/>
      <c r="BUR33" s="713"/>
      <c r="BUS33" s="713"/>
      <c r="BUT33" s="713"/>
      <c r="BUU33" s="713"/>
      <c r="BUV33" s="713"/>
      <c r="BUW33" s="713"/>
      <c r="BUX33" s="713"/>
      <c r="BUY33" s="713"/>
      <c r="BUZ33" s="713"/>
      <c r="BVA33" s="713"/>
      <c r="BVB33" s="713"/>
      <c r="BVC33" s="713"/>
      <c r="BVD33" s="713"/>
      <c r="BVE33" s="713"/>
      <c r="BVF33" s="713"/>
      <c r="BVG33" s="713"/>
      <c r="BVH33" s="713"/>
      <c r="BVI33" s="713"/>
      <c r="BVJ33" s="713"/>
      <c r="BVK33" s="713"/>
      <c r="BVL33" s="713"/>
      <c r="BVM33" s="713"/>
      <c r="BVN33" s="713"/>
      <c r="BVO33" s="713"/>
      <c r="BVP33" s="713"/>
      <c r="BVQ33" s="713"/>
      <c r="BVR33" s="713"/>
      <c r="BVS33" s="713"/>
      <c r="BVT33" s="713"/>
      <c r="BVU33" s="713"/>
      <c r="BVV33" s="713"/>
      <c r="BVW33" s="713"/>
      <c r="BVX33" s="713"/>
      <c r="BVY33" s="713"/>
      <c r="BVZ33" s="713"/>
      <c r="BWA33" s="713"/>
      <c r="BWB33" s="713"/>
      <c r="BWC33" s="713"/>
      <c r="BWD33" s="713"/>
      <c r="BWE33" s="713"/>
      <c r="BWF33" s="713"/>
      <c r="BWG33" s="713"/>
      <c r="BWH33" s="713"/>
      <c r="BWI33" s="713"/>
      <c r="BWJ33" s="713"/>
      <c r="BWK33" s="713"/>
      <c r="BWL33" s="713"/>
      <c r="BWM33" s="713"/>
      <c r="BWN33" s="713"/>
      <c r="BWO33" s="713"/>
      <c r="BWP33" s="713"/>
      <c r="BWQ33" s="713"/>
      <c r="BWR33" s="713"/>
      <c r="BWS33" s="713"/>
      <c r="BWT33" s="713"/>
      <c r="BWU33" s="713"/>
      <c r="BWV33" s="713"/>
      <c r="BWW33" s="713"/>
      <c r="BWX33" s="713"/>
      <c r="BWY33" s="713"/>
      <c r="BWZ33" s="713"/>
      <c r="BXA33" s="713"/>
      <c r="BXB33" s="713"/>
      <c r="BXC33" s="713"/>
      <c r="BXD33" s="713"/>
      <c r="BXE33" s="713"/>
      <c r="BXF33" s="713"/>
      <c r="BXG33" s="713"/>
      <c r="BXH33" s="713"/>
      <c r="BXI33" s="713"/>
      <c r="BXJ33" s="713"/>
      <c r="BXK33" s="713"/>
      <c r="BXL33" s="713"/>
      <c r="BXM33" s="713"/>
      <c r="BXN33" s="713"/>
      <c r="BXO33" s="713"/>
      <c r="BXP33" s="713"/>
      <c r="BXQ33" s="713"/>
      <c r="BXR33" s="713"/>
      <c r="BXS33" s="713"/>
      <c r="BXT33" s="713"/>
      <c r="BXU33" s="713"/>
      <c r="BXV33" s="713"/>
      <c r="BXW33" s="713"/>
      <c r="BXX33" s="713"/>
      <c r="BXY33" s="713"/>
      <c r="BXZ33" s="713"/>
      <c r="BYA33" s="713"/>
      <c r="BYB33" s="713"/>
      <c r="BYC33" s="713"/>
      <c r="BYD33" s="713"/>
      <c r="BYE33" s="713"/>
      <c r="BYF33" s="713"/>
      <c r="BYG33" s="713"/>
      <c r="BYH33" s="713"/>
      <c r="BYI33" s="713"/>
      <c r="BYJ33" s="713"/>
      <c r="BYK33" s="713"/>
      <c r="BYL33" s="713"/>
      <c r="BYM33" s="713"/>
      <c r="BYN33" s="713"/>
      <c r="BYO33" s="713"/>
      <c r="BYP33" s="713"/>
      <c r="BYQ33" s="713"/>
      <c r="BYR33" s="713"/>
      <c r="BYS33" s="713"/>
      <c r="BYT33" s="713"/>
      <c r="BYU33" s="713"/>
      <c r="BYV33" s="713"/>
      <c r="BYW33" s="713"/>
      <c r="BYX33" s="713"/>
      <c r="BYY33" s="713"/>
      <c r="BYZ33" s="713"/>
      <c r="BZA33" s="713"/>
      <c r="BZB33" s="713"/>
      <c r="BZC33" s="713"/>
      <c r="BZD33" s="713"/>
      <c r="BZE33" s="713"/>
      <c r="BZF33" s="713"/>
      <c r="BZG33" s="713"/>
      <c r="BZH33" s="713"/>
      <c r="BZI33" s="713"/>
      <c r="BZJ33" s="713"/>
      <c r="BZK33" s="713"/>
      <c r="BZL33" s="713"/>
      <c r="BZM33" s="713"/>
      <c r="BZN33" s="713"/>
      <c r="BZO33" s="713"/>
      <c r="BZP33" s="713"/>
      <c r="BZQ33" s="713"/>
      <c r="BZR33" s="713"/>
      <c r="BZS33" s="713"/>
      <c r="BZT33" s="713"/>
      <c r="BZU33" s="713"/>
      <c r="BZV33" s="713"/>
      <c r="BZW33" s="713"/>
      <c r="BZX33" s="713"/>
      <c r="BZY33" s="713"/>
      <c r="BZZ33" s="713"/>
      <c r="CAA33" s="713"/>
      <c r="CAB33" s="713"/>
      <c r="CAC33" s="713"/>
      <c r="CAD33" s="713"/>
      <c r="CAE33" s="713"/>
      <c r="CAF33" s="713"/>
      <c r="CAG33" s="713"/>
      <c r="CAH33" s="713"/>
      <c r="CAI33" s="713"/>
      <c r="CAJ33" s="713"/>
      <c r="CAK33" s="713"/>
      <c r="CAL33" s="713"/>
      <c r="CAM33" s="713"/>
      <c r="CAN33" s="713"/>
      <c r="CAO33" s="713"/>
      <c r="CAP33" s="713"/>
      <c r="CAQ33" s="713"/>
      <c r="CAR33" s="713"/>
      <c r="CAS33" s="713"/>
      <c r="CAT33" s="713"/>
      <c r="CAU33" s="713"/>
      <c r="CAV33" s="713"/>
      <c r="CAW33" s="713"/>
      <c r="CAX33" s="713"/>
      <c r="CAY33" s="713"/>
      <c r="CAZ33" s="713"/>
      <c r="CBA33" s="713"/>
      <c r="CBB33" s="713"/>
      <c r="CBC33" s="713"/>
      <c r="CBD33" s="713"/>
      <c r="CBE33" s="713"/>
      <c r="CBF33" s="713"/>
      <c r="CBG33" s="713"/>
      <c r="CBH33" s="713"/>
      <c r="CBI33" s="713"/>
      <c r="CBJ33" s="713"/>
      <c r="CBK33" s="713"/>
      <c r="CBL33" s="713"/>
      <c r="CBM33" s="713"/>
      <c r="CBN33" s="713"/>
      <c r="CBO33" s="713"/>
      <c r="CBP33" s="713"/>
      <c r="CBQ33" s="713"/>
      <c r="CBR33" s="713"/>
      <c r="CBS33" s="713"/>
      <c r="CBT33" s="713"/>
      <c r="CBU33" s="713"/>
      <c r="CBV33" s="713"/>
      <c r="CBW33" s="713"/>
      <c r="CBX33" s="713"/>
      <c r="CBY33" s="713"/>
      <c r="CBZ33" s="713"/>
      <c r="CCA33" s="713"/>
      <c r="CCB33" s="713"/>
      <c r="CCC33" s="713"/>
      <c r="CCD33" s="713"/>
      <c r="CCE33" s="713"/>
      <c r="CCF33" s="713"/>
      <c r="CCG33" s="713"/>
      <c r="CCH33" s="713"/>
      <c r="CCI33" s="713"/>
      <c r="CCJ33" s="713"/>
      <c r="CCK33" s="713"/>
      <c r="CCL33" s="713"/>
      <c r="CCM33" s="713"/>
      <c r="CCN33" s="713"/>
      <c r="CCO33" s="713"/>
      <c r="CCP33" s="713"/>
      <c r="CCQ33" s="713"/>
      <c r="CCR33" s="713"/>
      <c r="CCS33" s="713"/>
      <c r="CCT33" s="713"/>
      <c r="CCU33" s="713"/>
      <c r="CCV33" s="713"/>
      <c r="CCW33" s="713"/>
      <c r="CCX33" s="713"/>
      <c r="CCY33" s="713"/>
      <c r="CCZ33" s="713"/>
      <c r="CDA33" s="713"/>
      <c r="CDB33" s="713"/>
      <c r="CDC33" s="713"/>
      <c r="CDD33" s="713"/>
      <c r="CDE33" s="713"/>
      <c r="CDF33" s="713"/>
      <c r="CDG33" s="713"/>
      <c r="CDH33" s="713"/>
      <c r="CDI33" s="713"/>
      <c r="CDJ33" s="713"/>
      <c r="CDK33" s="713"/>
      <c r="CDL33" s="713"/>
      <c r="CDM33" s="713"/>
      <c r="CDN33" s="713"/>
      <c r="CDO33" s="713"/>
      <c r="CDP33" s="713"/>
      <c r="CDQ33" s="713"/>
      <c r="CDR33" s="713"/>
      <c r="CDS33" s="713"/>
      <c r="CDT33" s="713"/>
      <c r="CDU33" s="713"/>
      <c r="CDV33" s="713"/>
      <c r="CDW33" s="713"/>
      <c r="CDX33" s="713"/>
      <c r="CDY33" s="713"/>
      <c r="CDZ33" s="713"/>
      <c r="CEA33" s="713"/>
      <c r="CEB33" s="713"/>
      <c r="CEC33" s="713"/>
      <c r="CED33" s="713"/>
      <c r="CEE33" s="713"/>
      <c r="CEF33" s="713"/>
      <c r="CEG33" s="713"/>
      <c r="CEH33" s="713"/>
      <c r="CEI33" s="713"/>
      <c r="CEJ33" s="713"/>
      <c r="CEK33" s="713"/>
      <c r="CEL33" s="713"/>
      <c r="CEM33" s="713"/>
      <c r="CEN33" s="713"/>
      <c r="CEO33" s="713"/>
      <c r="CEP33" s="713"/>
      <c r="CEQ33" s="713"/>
      <c r="CER33" s="713"/>
      <c r="CES33" s="713"/>
      <c r="CET33" s="713"/>
      <c r="CEU33" s="713"/>
      <c r="CEV33" s="713"/>
      <c r="CEW33" s="713"/>
      <c r="CEX33" s="713"/>
      <c r="CEY33" s="713"/>
      <c r="CEZ33" s="713"/>
      <c r="CFA33" s="713"/>
      <c r="CFB33" s="713"/>
      <c r="CFC33" s="713"/>
      <c r="CFD33" s="713"/>
      <c r="CFE33" s="713"/>
      <c r="CFF33" s="713"/>
      <c r="CFG33" s="713"/>
      <c r="CFH33" s="713"/>
      <c r="CFI33" s="713"/>
      <c r="CFJ33" s="713"/>
      <c r="CFK33" s="713"/>
      <c r="CFL33" s="713"/>
      <c r="CFM33" s="713"/>
      <c r="CFN33" s="713"/>
      <c r="CFO33" s="713"/>
      <c r="CFP33" s="713"/>
      <c r="CFQ33" s="713"/>
      <c r="CFR33" s="713"/>
      <c r="CFS33" s="713"/>
      <c r="CFT33" s="713"/>
      <c r="CFU33" s="713"/>
      <c r="CFV33" s="713"/>
      <c r="CFW33" s="713"/>
      <c r="CFX33" s="713"/>
      <c r="CFY33" s="713"/>
      <c r="CFZ33" s="713"/>
      <c r="CGA33" s="713"/>
      <c r="CGB33" s="713"/>
      <c r="CGC33" s="713"/>
      <c r="CGD33" s="713"/>
      <c r="CGE33" s="713"/>
      <c r="CGF33" s="713"/>
      <c r="CGG33" s="713"/>
      <c r="CGH33" s="713"/>
      <c r="CGI33" s="713"/>
      <c r="CGJ33" s="713"/>
      <c r="CGK33" s="713"/>
      <c r="CGL33" s="713"/>
      <c r="CGM33" s="713"/>
      <c r="CGN33" s="713"/>
      <c r="CGO33" s="713"/>
      <c r="CGP33" s="713"/>
      <c r="CGQ33" s="713"/>
      <c r="CGR33" s="713"/>
      <c r="CGS33" s="713"/>
      <c r="CGT33" s="713"/>
      <c r="CGU33" s="713"/>
      <c r="CGV33" s="713"/>
      <c r="CGW33" s="713"/>
      <c r="CGX33" s="713"/>
      <c r="CGY33" s="713"/>
      <c r="CGZ33" s="713"/>
      <c r="CHA33" s="713"/>
      <c r="CHB33" s="713"/>
      <c r="CHC33" s="713"/>
      <c r="CHD33" s="713"/>
      <c r="CHE33" s="713"/>
      <c r="CHF33" s="713"/>
      <c r="CHG33" s="713"/>
      <c r="CHH33" s="713"/>
      <c r="CHI33" s="713"/>
      <c r="CHJ33" s="713"/>
      <c r="CHK33" s="713"/>
      <c r="CHL33" s="713"/>
      <c r="CHM33" s="713"/>
      <c r="CHN33" s="713"/>
      <c r="CHO33" s="713"/>
      <c r="CHP33" s="713"/>
      <c r="CHQ33" s="713"/>
      <c r="CHR33" s="713"/>
      <c r="CHS33" s="713"/>
      <c r="CHT33" s="713"/>
      <c r="CHU33" s="713"/>
      <c r="CHV33" s="713"/>
      <c r="CHW33" s="713"/>
      <c r="CHX33" s="713"/>
      <c r="CHY33" s="713"/>
      <c r="CHZ33" s="713"/>
      <c r="CIA33" s="713"/>
      <c r="CIB33" s="713"/>
      <c r="CIC33" s="713"/>
      <c r="CID33" s="713"/>
      <c r="CIE33" s="713"/>
      <c r="CIF33" s="713"/>
      <c r="CIG33" s="713"/>
      <c r="CIH33" s="713"/>
      <c r="CII33" s="713"/>
      <c r="CIJ33" s="713"/>
      <c r="CIK33" s="713"/>
      <c r="CIL33" s="713"/>
      <c r="CIM33" s="713"/>
      <c r="CIN33" s="713"/>
      <c r="CIO33" s="713"/>
      <c r="CIP33" s="713"/>
      <c r="CIQ33" s="713"/>
      <c r="CIR33" s="713"/>
      <c r="CIS33" s="713"/>
      <c r="CIT33" s="713"/>
      <c r="CIU33" s="713"/>
      <c r="CIV33" s="713"/>
      <c r="CIW33" s="713"/>
      <c r="CIX33" s="713"/>
      <c r="CIY33" s="713"/>
      <c r="CIZ33" s="713"/>
      <c r="CJA33" s="713"/>
      <c r="CJB33" s="713"/>
      <c r="CJC33" s="713"/>
      <c r="CJD33" s="713"/>
      <c r="CJE33" s="713"/>
      <c r="CJF33" s="713"/>
      <c r="CJG33" s="713"/>
      <c r="CJH33" s="713"/>
      <c r="CJI33" s="713"/>
      <c r="CJJ33" s="713"/>
      <c r="CJK33" s="713"/>
      <c r="CJL33" s="713"/>
      <c r="CJM33" s="713"/>
      <c r="CJN33" s="713"/>
      <c r="CJO33" s="713"/>
      <c r="CJP33" s="713"/>
      <c r="CJQ33" s="713"/>
      <c r="CJR33" s="713"/>
      <c r="CJS33" s="713"/>
      <c r="CJT33" s="713"/>
      <c r="CJU33" s="713"/>
      <c r="CJV33" s="713"/>
      <c r="CJW33" s="713"/>
      <c r="CJX33" s="713"/>
      <c r="CJY33" s="713"/>
      <c r="CJZ33" s="713"/>
      <c r="CKA33" s="713"/>
      <c r="CKB33" s="713"/>
      <c r="CKC33" s="713"/>
      <c r="CKD33" s="713"/>
      <c r="CKE33" s="713"/>
      <c r="CKF33" s="713"/>
      <c r="CKG33" s="713"/>
      <c r="CKH33" s="713"/>
      <c r="CKI33" s="713"/>
      <c r="CKJ33" s="713"/>
      <c r="CKK33" s="713"/>
      <c r="CKL33" s="713"/>
      <c r="CKM33" s="713"/>
      <c r="CKN33" s="713"/>
      <c r="CKO33" s="713"/>
      <c r="CKP33" s="713"/>
      <c r="CKQ33" s="713"/>
      <c r="CKR33" s="713"/>
      <c r="CKS33" s="713"/>
      <c r="CKT33" s="713"/>
      <c r="CKU33" s="713"/>
      <c r="CKV33" s="713"/>
      <c r="CKW33" s="713"/>
      <c r="CKX33" s="713"/>
      <c r="CKY33" s="713"/>
      <c r="CKZ33" s="713"/>
      <c r="CLA33" s="713"/>
      <c r="CLB33" s="713"/>
      <c r="CLC33" s="713"/>
      <c r="CLD33" s="713"/>
      <c r="CLE33" s="713"/>
      <c r="CLF33" s="713"/>
      <c r="CLG33" s="713"/>
      <c r="CLH33" s="713"/>
      <c r="CLI33" s="713"/>
      <c r="CLJ33" s="713"/>
      <c r="CLK33" s="713"/>
      <c r="CLL33" s="713"/>
      <c r="CLM33" s="713"/>
      <c r="CLN33" s="713"/>
      <c r="CLO33" s="713"/>
      <c r="CLP33" s="713"/>
      <c r="CLQ33" s="713"/>
      <c r="CLR33" s="713"/>
      <c r="CLS33" s="713"/>
      <c r="CLT33" s="713"/>
      <c r="CLU33" s="713"/>
      <c r="CLV33" s="713"/>
      <c r="CLW33" s="713"/>
      <c r="CLX33" s="713"/>
      <c r="CLY33" s="713"/>
      <c r="CLZ33" s="713"/>
      <c r="CMA33" s="713"/>
      <c r="CMB33" s="713"/>
      <c r="CMC33" s="713"/>
      <c r="CMD33" s="713"/>
      <c r="CME33" s="713"/>
      <c r="CMF33" s="713"/>
      <c r="CMG33" s="713"/>
      <c r="CMH33" s="713"/>
      <c r="CMI33" s="713"/>
      <c r="CMJ33" s="713"/>
      <c r="CMK33" s="713"/>
      <c r="CML33" s="713"/>
      <c r="CMM33" s="713"/>
      <c r="CMN33" s="713"/>
      <c r="CMO33" s="713"/>
      <c r="CMP33" s="713"/>
      <c r="CMQ33" s="713"/>
      <c r="CMR33" s="713"/>
      <c r="CMS33" s="713"/>
      <c r="CMT33" s="713"/>
      <c r="CMU33" s="713"/>
      <c r="CMV33" s="713"/>
      <c r="CMW33" s="713"/>
      <c r="CMX33" s="713"/>
      <c r="CMY33" s="713"/>
      <c r="CMZ33" s="713"/>
      <c r="CNA33" s="713"/>
      <c r="CNB33" s="713"/>
      <c r="CNC33" s="713"/>
      <c r="CND33" s="713"/>
      <c r="CNE33" s="713"/>
      <c r="CNF33" s="713"/>
      <c r="CNG33" s="713"/>
      <c r="CNH33" s="713"/>
      <c r="CNI33" s="713"/>
      <c r="CNJ33" s="713"/>
      <c r="CNK33" s="713"/>
      <c r="CNL33" s="713"/>
      <c r="CNM33" s="713"/>
      <c r="CNN33" s="713"/>
      <c r="CNO33" s="713"/>
      <c r="CNP33" s="713"/>
      <c r="CNQ33" s="713"/>
      <c r="CNR33" s="713"/>
      <c r="CNS33" s="713"/>
      <c r="CNT33" s="713"/>
      <c r="CNU33" s="713"/>
      <c r="CNV33" s="713"/>
      <c r="CNW33" s="713"/>
      <c r="CNX33" s="713"/>
      <c r="CNY33" s="713"/>
      <c r="CNZ33" s="713"/>
      <c r="COA33" s="713"/>
      <c r="COB33" s="713"/>
      <c r="COC33" s="713"/>
      <c r="COD33" s="713"/>
      <c r="COE33" s="713"/>
      <c r="COF33" s="713"/>
      <c r="COG33" s="713"/>
      <c r="COH33" s="713"/>
      <c r="COI33" s="713"/>
      <c r="COJ33" s="713"/>
      <c r="COK33" s="713"/>
      <c r="COL33" s="713"/>
      <c r="COM33" s="713"/>
      <c r="CON33" s="713"/>
      <c r="COO33" s="713"/>
      <c r="COP33" s="713"/>
      <c r="COQ33" s="713"/>
      <c r="COR33" s="713"/>
      <c r="COS33" s="713"/>
      <c r="COT33" s="713"/>
      <c r="COU33" s="713"/>
      <c r="COV33" s="713"/>
      <c r="COW33" s="713"/>
      <c r="COX33" s="713"/>
      <c r="COY33" s="713"/>
      <c r="COZ33" s="713"/>
      <c r="CPA33" s="713"/>
      <c r="CPB33" s="713"/>
      <c r="CPC33" s="713"/>
      <c r="CPD33" s="713"/>
      <c r="CPE33" s="713"/>
      <c r="CPF33" s="713"/>
      <c r="CPG33" s="713"/>
      <c r="CPH33" s="713"/>
      <c r="CPI33" s="713"/>
      <c r="CPJ33" s="713"/>
      <c r="CPK33" s="713"/>
      <c r="CPL33" s="713"/>
      <c r="CPM33" s="713"/>
      <c r="CPN33" s="713"/>
      <c r="CPO33" s="713"/>
      <c r="CPP33" s="713"/>
      <c r="CPQ33" s="713"/>
      <c r="CPR33" s="713"/>
      <c r="CPS33" s="713"/>
      <c r="CPT33" s="713"/>
      <c r="CPU33" s="713"/>
      <c r="CPV33" s="713"/>
      <c r="CPW33" s="713"/>
      <c r="CPX33" s="713"/>
      <c r="CPY33" s="713"/>
      <c r="CPZ33" s="713"/>
      <c r="CQA33" s="713"/>
      <c r="CQB33" s="713"/>
      <c r="CQC33" s="713"/>
      <c r="CQD33" s="713"/>
      <c r="CQE33" s="713"/>
      <c r="CQF33" s="713"/>
      <c r="CQG33" s="713"/>
      <c r="CQH33" s="713"/>
      <c r="CQI33" s="713"/>
      <c r="CQJ33" s="713"/>
      <c r="CQK33" s="713"/>
      <c r="CQL33" s="713"/>
      <c r="CQM33" s="713"/>
      <c r="CQN33" s="713"/>
      <c r="CQO33" s="713"/>
      <c r="CQP33" s="713"/>
      <c r="CQQ33" s="713"/>
      <c r="CQR33" s="713"/>
      <c r="CQS33" s="713"/>
      <c r="CQT33" s="713"/>
      <c r="CQU33" s="713"/>
      <c r="CQV33" s="713"/>
      <c r="CQW33" s="713"/>
      <c r="CQX33" s="713"/>
      <c r="CQY33" s="713"/>
      <c r="CQZ33" s="713"/>
      <c r="CRA33" s="713"/>
      <c r="CRB33" s="713"/>
      <c r="CRC33" s="713"/>
      <c r="CRD33" s="713"/>
      <c r="CRE33" s="713"/>
      <c r="CRF33" s="713"/>
      <c r="CRG33" s="713"/>
      <c r="CRH33" s="713"/>
      <c r="CRI33" s="713"/>
      <c r="CRJ33" s="713"/>
      <c r="CRK33" s="713"/>
      <c r="CRL33" s="713"/>
      <c r="CRM33" s="713"/>
      <c r="CRN33" s="713"/>
      <c r="CRO33" s="713"/>
      <c r="CRP33" s="713"/>
      <c r="CRQ33" s="713"/>
      <c r="CRR33" s="713"/>
      <c r="CRS33" s="713"/>
      <c r="CRT33" s="713"/>
      <c r="CRU33" s="713"/>
      <c r="CRV33" s="713"/>
      <c r="CRW33" s="713"/>
      <c r="CRX33" s="713"/>
      <c r="CRY33" s="713"/>
      <c r="CRZ33" s="713"/>
      <c r="CSA33" s="713"/>
      <c r="CSB33" s="713"/>
      <c r="CSC33" s="713"/>
      <c r="CSD33" s="713"/>
      <c r="CSE33" s="713"/>
      <c r="CSF33" s="713"/>
      <c r="CSG33" s="713"/>
      <c r="CSH33" s="713"/>
      <c r="CSI33" s="713"/>
      <c r="CSJ33" s="713"/>
      <c r="CSK33" s="713"/>
      <c r="CSL33" s="713"/>
      <c r="CSM33" s="713"/>
      <c r="CSN33" s="713"/>
      <c r="CSO33" s="713"/>
      <c r="CSP33" s="713"/>
      <c r="CSQ33" s="713"/>
      <c r="CSR33" s="713"/>
      <c r="CSS33" s="713"/>
      <c r="CST33" s="713"/>
      <c r="CSU33" s="713"/>
      <c r="CSV33" s="713"/>
      <c r="CSW33" s="713"/>
      <c r="CSX33" s="713"/>
      <c r="CSY33" s="713"/>
      <c r="CSZ33" s="713"/>
      <c r="CTA33" s="713"/>
      <c r="CTB33" s="713"/>
      <c r="CTC33" s="713"/>
      <c r="CTD33" s="713"/>
      <c r="CTE33" s="713"/>
      <c r="CTF33" s="713"/>
      <c r="CTG33" s="713"/>
      <c r="CTH33" s="713"/>
      <c r="CTI33" s="713"/>
      <c r="CTJ33" s="713"/>
      <c r="CTK33" s="713"/>
      <c r="CTL33" s="713"/>
      <c r="CTM33" s="713"/>
      <c r="CTN33" s="713"/>
      <c r="CTO33" s="713"/>
      <c r="CTP33" s="713"/>
      <c r="CTQ33" s="713"/>
      <c r="CTR33" s="713"/>
      <c r="CTS33" s="713"/>
      <c r="CTT33" s="713"/>
      <c r="CTU33" s="713"/>
      <c r="CTV33" s="713"/>
      <c r="CTW33" s="713"/>
      <c r="CTX33" s="713"/>
      <c r="CTY33" s="713"/>
      <c r="CTZ33" s="713"/>
      <c r="CUA33" s="713"/>
      <c r="CUB33" s="713"/>
      <c r="CUC33" s="713"/>
      <c r="CUD33" s="713"/>
      <c r="CUE33" s="713"/>
      <c r="CUF33" s="713"/>
      <c r="CUG33" s="713"/>
      <c r="CUH33" s="713"/>
      <c r="CUI33" s="713"/>
      <c r="CUJ33" s="713"/>
      <c r="CUK33" s="713"/>
      <c r="CUL33" s="713"/>
      <c r="CUM33" s="713"/>
      <c r="CUN33" s="713"/>
      <c r="CUO33" s="713"/>
      <c r="CUP33" s="713"/>
      <c r="CUQ33" s="713"/>
      <c r="CUR33" s="713"/>
      <c r="CUS33" s="713"/>
      <c r="CUT33" s="713"/>
      <c r="CUU33" s="713"/>
      <c r="CUV33" s="713"/>
      <c r="CUW33" s="713"/>
      <c r="CUX33" s="713"/>
      <c r="CUY33" s="713"/>
      <c r="CUZ33" s="713"/>
      <c r="CVA33" s="713"/>
      <c r="CVB33" s="713"/>
      <c r="CVC33" s="713"/>
      <c r="CVD33" s="713"/>
      <c r="CVE33" s="713"/>
      <c r="CVF33" s="713"/>
      <c r="CVG33" s="713"/>
      <c r="CVH33" s="713"/>
      <c r="CVI33" s="713"/>
      <c r="CVJ33" s="713"/>
      <c r="CVK33" s="713"/>
      <c r="CVL33" s="713"/>
      <c r="CVM33" s="713"/>
      <c r="CVN33" s="713"/>
      <c r="CVO33" s="713"/>
      <c r="CVP33" s="713"/>
      <c r="CVQ33" s="713"/>
      <c r="CVR33" s="713"/>
      <c r="CVS33" s="713"/>
      <c r="CVT33" s="713"/>
      <c r="CVU33" s="713"/>
      <c r="CVV33" s="713"/>
      <c r="CVW33" s="713"/>
      <c r="CVX33" s="713"/>
      <c r="CVY33" s="713"/>
      <c r="CVZ33" s="713"/>
      <c r="CWA33" s="713"/>
      <c r="CWB33" s="713"/>
      <c r="CWC33" s="713"/>
      <c r="CWD33" s="713"/>
      <c r="CWE33" s="713"/>
      <c r="CWF33" s="713"/>
      <c r="CWG33" s="713"/>
      <c r="CWH33" s="713"/>
      <c r="CWI33" s="713"/>
      <c r="CWJ33" s="713"/>
      <c r="CWK33" s="713"/>
      <c r="CWL33" s="713"/>
      <c r="CWM33" s="713"/>
      <c r="CWN33" s="713"/>
      <c r="CWO33" s="713"/>
      <c r="CWP33" s="713"/>
      <c r="CWQ33" s="713"/>
      <c r="CWR33" s="713"/>
      <c r="CWS33" s="713"/>
      <c r="CWT33" s="713"/>
      <c r="CWU33" s="713"/>
      <c r="CWV33" s="713"/>
      <c r="CWW33" s="713"/>
      <c r="CWX33" s="713"/>
      <c r="CWY33" s="713"/>
      <c r="CWZ33" s="713"/>
      <c r="CXA33" s="713"/>
      <c r="CXB33" s="713"/>
      <c r="CXC33" s="713"/>
      <c r="CXD33" s="713"/>
      <c r="CXE33" s="713"/>
      <c r="CXF33" s="713"/>
      <c r="CXG33" s="713"/>
      <c r="CXH33" s="713"/>
      <c r="CXI33" s="713"/>
      <c r="CXJ33" s="713"/>
      <c r="CXK33" s="713"/>
      <c r="CXL33" s="713"/>
      <c r="CXM33" s="713"/>
      <c r="CXN33" s="713"/>
      <c r="CXO33" s="713"/>
      <c r="CXP33" s="713"/>
      <c r="CXQ33" s="713"/>
      <c r="CXR33" s="713"/>
      <c r="CXS33" s="713"/>
      <c r="CXT33" s="713"/>
      <c r="CXU33" s="713"/>
      <c r="CXV33" s="713"/>
      <c r="CXW33" s="713"/>
      <c r="CXX33" s="713"/>
      <c r="CXY33" s="713"/>
      <c r="CXZ33" s="713"/>
      <c r="CYA33" s="713"/>
      <c r="CYB33" s="713"/>
      <c r="CYC33" s="713"/>
      <c r="CYD33" s="713"/>
      <c r="CYE33" s="713"/>
      <c r="CYF33" s="713"/>
      <c r="CYG33" s="713"/>
      <c r="CYH33" s="713"/>
      <c r="CYI33" s="713"/>
      <c r="CYJ33" s="713"/>
      <c r="CYK33" s="713"/>
      <c r="CYL33" s="713"/>
      <c r="CYM33" s="713"/>
      <c r="CYN33" s="713"/>
      <c r="CYO33" s="713"/>
      <c r="CYP33" s="713"/>
      <c r="CYQ33" s="713"/>
      <c r="CYR33" s="713"/>
      <c r="CYS33" s="713"/>
      <c r="CYT33" s="713"/>
      <c r="CYU33" s="713"/>
      <c r="CYV33" s="713"/>
      <c r="CYW33" s="713"/>
      <c r="CYX33" s="713"/>
      <c r="CYY33" s="713"/>
      <c r="CYZ33" s="713"/>
      <c r="CZA33" s="713"/>
      <c r="CZB33" s="713"/>
      <c r="CZC33" s="713"/>
      <c r="CZD33" s="713"/>
      <c r="CZE33" s="713"/>
      <c r="CZF33" s="713"/>
      <c r="CZG33" s="713"/>
      <c r="CZH33" s="713"/>
      <c r="CZI33" s="713"/>
      <c r="CZJ33" s="713"/>
      <c r="CZK33" s="713"/>
      <c r="CZL33" s="713"/>
      <c r="CZM33" s="713"/>
      <c r="CZN33" s="713"/>
      <c r="CZO33" s="713"/>
      <c r="CZP33" s="713"/>
      <c r="CZQ33" s="713"/>
      <c r="CZR33" s="713"/>
      <c r="CZS33" s="713"/>
      <c r="CZT33" s="713"/>
      <c r="CZU33" s="713"/>
      <c r="CZV33" s="713"/>
      <c r="CZW33" s="713"/>
      <c r="CZX33" s="713"/>
      <c r="CZY33" s="713"/>
      <c r="CZZ33" s="713"/>
      <c r="DAA33" s="713"/>
      <c r="DAB33" s="713"/>
      <c r="DAC33" s="713"/>
      <c r="DAD33" s="713"/>
      <c r="DAE33" s="713"/>
      <c r="DAF33" s="713"/>
      <c r="DAG33" s="713"/>
      <c r="DAH33" s="713"/>
      <c r="DAI33" s="713"/>
      <c r="DAJ33" s="713"/>
      <c r="DAK33" s="713"/>
      <c r="DAL33" s="713"/>
      <c r="DAM33" s="713"/>
      <c r="DAN33" s="713"/>
      <c r="DAO33" s="713"/>
      <c r="DAP33" s="713"/>
      <c r="DAQ33" s="713"/>
      <c r="DAR33" s="713"/>
      <c r="DAS33" s="713"/>
      <c r="DAT33" s="713"/>
      <c r="DAU33" s="713"/>
      <c r="DAV33" s="713"/>
      <c r="DAW33" s="713"/>
      <c r="DAX33" s="713"/>
      <c r="DAY33" s="713"/>
      <c r="DAZ33" s="713"/>
      <c r="DBA33" s="713"/>
      <c r="DBB33" s="713"/>
      <c r="DBC33" s="713"/>
      <c r="DBD33" s="713"/>
      <c r="DBE33" s="713"/>
      <c r="DBF33" s="713"/>
      <c r="DBG33" s="713"/>
      <c r="DBH33" s="713"/>
      <c r="DBI33" s="713"/>
      <c r="DBJ33" s="713"/>
      <c r="DBK33" s="713"/>
      <c r="DBL33" s="713"/>
      <c r="DBM33" s="713"/>
      <c r="DBN33" s="713"/>
      <c r="DBO33" s="713"/>
      <c r="DBP33" s="713"/>
      <c r="DBQ33" s="713"/>
      <c r="DBR33" s="713"/>
      <c r="DBS33" s="713"/>
      <c r="DBT33" s="713"/>
      <c r="DBU33" s="713"/>
      <c r="DBV33" s="713"/>
      <c r="DBW33" s="713"/>
      <c r="DBX33" s="713"/>
      <c r="DBY33" s="713"/>
      <c r="DBZ33" s="713"/>
      <c r="DCA33" s="713"/>
      <c r="DCB33" s="713"/>
      <c r="DCC33" s="713"/>
      <c r="DCD33" s="713"/>
      <c r="DCE33" s="713"/>
      <c r="DCF33" s="713"/>
      <c r="DCG33" s="713"/>
      <c r="DCH33" s="713"/>
      <c r="DCI33" s="713"/>
      <c r="DCJ33" s="713"/>
      <c r="DCK33" s="713"/>
      <c r="DCL33" s="713"/>
      <c r="DCM33" s="713"/>
      <c r="DCN33" s="713"/>
      <c r="DCO33" s="713"/>
      <c r="DCP33" s="713"/>
      <c r="DCQ33" s="713"/>
      <c r="DCR33" s="713"/>
      <c r="DCS33" s="713"/>
      <c r="DCT33" s="713"/>
      <c r="DCU33" s="713"/>
      <c r="DCV33" s="713"/>
      <c r="DCW33" s="713"/>
      <c r="DCX33" s="713"/>
      <c r="DCY33" s="713"/>
      <c r="DCZ33" s="713"/>
      <c r="DDA33" s="713"/>
      <c r="DDB33" s="713"/>
      <c r="DDC33" s="713"/>
      <c r="DDD33" s="713"/>
      <c r="DDE33" s="713"/>
      <c r="DDF33" s="713"/>
      <c r="DDG33" s="713"/>
      <c r="DDH33" s="713"/>
      <c r="DDI33" s="713"/>
      <c r="DDJ33" s="713"/>
      <c r="DDK33" s="713"/>
      <c r="DDL33" s="713"/>
      <c r="DDM33" s="713"/>
      <c r="DDN33" s="713"/>
      <c r="DDO33" s="713"/>
      <c r="DDP33" s="713"/>
      <c r="DDQ33" s="713"/>
      <c r="DDR33" s="713"/>
      <c r="DDS33" s="713"/>
      <c r="DDT33" s="713"/>
      <c r="DDU33" s="713"/>
      <c r="DDV33" s="713"/>
      <c r="DDW33" s="713"/>
      <c r="DDX33" s="713"/>
      <c r="DDY33" s="713"/>
      <c r="DDZ33" s="713"/>
      <c r="DEA33" s="713"/>
      <c r="DEB33" s="713"/>
      <c r="DEC33" s="713"/>
      <c r="DED33" s="713"/>
      <c r="DEE33" s="713"/>
      <c r="DEF33" s="713"/>
      <c r="DEG33" s="713"/>
      <c r="DEH33" s="713"/>
      <c r="DEI33" s="713"/>
      <c r="DEJ33" s="713"/>
      <c r="DEK33" s="713"/>
      <c r="DEL33" s="713"/>
      <c r="DEM33" s="713"/>
      <c r="DEN33" s="713"/>
      <c r="DEO33" s="713"/>
      <c r="DEP33" s="713"/>
      <c r="DEQ33" s="713"/>
      <c r="DER33" s="713"/>
      <c r="DES33" s="713"/>
      <c r="DET33" s="713"/>
      <c r="DEU33" s="713"/>
      <c r="DEV33" s="713"/>
      <c r="DEW33" s="713"/>
      <c r="DEX33" s="713"/>
      <c r="DEY33" s="713"/>
      <c r="DEZ33" s="713"/>
      <c r="DFA33" s="713"/>
      <c r="DFB33" s="713"/>
      <c r="DFC33" s="713"/>
      <c r="DFD33" s="713"/>
      <c r="DFE33" s="713"/>
      <c r="DFF33" s="713"/>
      <c r="DFG33" s="713"/>
      <c r="DFH33" s="713"/>
      <c r="DFI33" s="713"/>
      <c r="DFJ33" s="713"/>
      <c r="DFK33" s="713"/>
      <c r="DFL33" s="713"/>
      <c r="DFM33" s="713"/>
      <c r="DFN33" s="713"/>
      <c r="DFO33" s="713"/>
      <c r="DFP33" s="713"/>
      <c r="DFQ33" s="713"/>
      <c r="DFR33" s="713"/>
      <c r="DFS33" s="713"/>
      <c r="DFT33" s="713"/>
      <c r="DFU33" s="713"/>
      <c r="DFV33" s="713"/>
      <c r="DFW33" s="713"/>
      <c r="DFX33" s="713"/>
      <c r="DFY33" s="713"/>
      <c r="DFZ33" s="713"/>
      <c r="DGA33" s="713"/>
      <c r="DGB33" s="713"/>
      <c r="DGC33" s="713"/>
      <c r="DGD33" s="713"/>
      <c r="DGE33" s="713"/>
      <c r="DGF33" s="713"/>
      <c r="DGG33" s="713"/>
      <c r="DGH33" s="713"/>
      <c r="DGI33" s="713"/>
      <c r="DGJ33" s="713"/>
      <c r="DGK33" s="713"/>
      <c r="DGL33" s="713"/>
      <c r="DGM33" s="713"/>
      <c r="DGN33" s="713"/>
      <c r="DGO33" s="713"/>
      <c r="DGP33" s="713"/>
      <c r="DGQ33" s="713"/>
      <c r="DGR33" s="713"/>
      <c r="DGS33" s="713"/>
      <c r="DGT33" s="713"/>
      <c r="DGU33" s="713"/>
      <c r="DGV33" s="713"/>
      <c r="DGW33" s="713"/>
      <c r="DGX33" s="713"/>
      <c r="DGY33" s="713"/>
      <c r="DGZ33" s="713"/>
      <c r="DHA33" s="713"/>
      <c r="DHB33" s="713"/>
      <c r="DHC33" s="713"/>
      <c r="DHD33" s="713"/>
      <c r="DHE33" s="713"/>
      <c r="DHF33" s="713"/>
      <c r="DHG33" s="713"/>
      <c r="DHH33" s="713"/>
      <c r="DHI33" s="713"/>
      <c r="DHJ33" s="713"/>
      <c r="DHK33" s="713"/>
      <c r="DHL33" s="713"/>
      <c r="DHM33" s="713"/>
      <c r="DHN33" s="713"/>
      <c r="DHO33" s="713"/>
      <c r="DHP33" s="713"/>
      <c r="DHQ33" s="713"/>
      <c r="DHR33" s="713"/>
      <c r="DHS33" s="713"/>
      <c r="DHT33" s="713"/>
      <c r="DHU33" s="713"/>
      <c r="DHV33" s="713"/>
      <c r="DHW33" s="713"/>
      <c r="DHX33" s="713"/>
      <c r="DHY33" s="713"/>
      <c r="DHZ33" s="713"/>
      <c r="DIA33" s="713"/>
      <c r="DIB33" s="713"/>
      <c r="DIC33" s="713"/>
      <c r="DID33" s="713"/>
      <c r="DIE33" s="713"/>
      <c r="DIF33" s="713"/>
      <c r="DIG33" s="713"/>
      <c r="DIH33" s="713"/>
      <c r="DII33" s="713"/>
      <c r="DIJ33" s="713"/>
      <c r="DIK33" s="713"/>
      <c r="DIL33" s="713"/>
      <c r="DIM33" s="713"/>
      <c r="DIN33" s="713"/>
      <c r="DIO33" s="713"/>
      <c r="DIP33" s="713"/>
      <c r="DIQ33" s="713"/>
      <c r="DIR33" s="713"/>
      <c r="DIS33" s="713"/>
      <c r="DIT33" s="713"/>
      <c r="DIU33" s="713"/>
      <c r="DIV33" s="713"/>
      <c r="DIW33" s="713"/>
      <c r="DIX33" s="713"/>
      <c r="DIY33" s="713"/>
      <c r="DIZ33" s="713"/>
      <c r="DJA33" s="713"/>
      <c r="DJB33" s="713"/>
      <c r="DJC33" s="713"/>
      <c r="DJD33" s="713"/>
      <c r="DJE33" s="713"/>
      <c r="DJF33" s="713"/>
      <c r="DJG33" s="713"/>
      <c r="DJH33" s="713"/>
      <c r="DJI33" s="713"/>
      <c r="DJJ33" s="713"/>
      <c r="DJK33" s="713"/>
      <c r="DJL33" s="713"/>
      <c r="DJM33" s="713"/>
      <c r="DJN33" s="713"/>
      <c r="DJO33" s="713"/>
      <c r="DJP33" s="713"/>
      <c r="DJQ33" s="713"/>
      <c r="DJR33" s="713"/>
      <c r="DJS33" s="713"/>
      <c r="DJT33" s="713"/>
      <c r="DJU33" s="713"/>
      <c r="DJV33" s="713"/>
      <c r="DJW33" s="713"/>
      <c r="DJX33" s="713"/>
      <c r="DJY33" s="713"/>
      <c r="DJZ33" s="713"/>
      <c r="DKA33" s="713"/>
      <c r="DKB33" s="713"/>
      <c r="DKC33" s="713"/>
      <c r="DKD33" s="713"/>
      <c r="DKE33" s="713"/>
      <c r="DKF33" s="713"/>
      <c r="DKG33" s="713"/>
      <c r="DKH33" s="713"/>
      <c r="DKI33" s="713"/>
      <c r="DKJ33" s="713"/>
      <c r="DKK33" s="713"/>
      <c r="DKL33" s="713"/>
      <c r="DKM33" s="713"/>
      <c r="DKN33" s="713"/>
      <c r="DKO33" s="713"/>
      <c r="DKP33" s="713"/>
      <c r="DKQ33" s="713"/>
      <c r="DKR33" s="713"/>
      <c r="DKS33" s="713"/>
      <c r="DKT33" s="713"/>
      <c r="DKU33" s="713"/>
      <c r="DKV33" s="713"/>
      <c r="DKW33" s="713"/>
      <c r="DKX33" s="713"/>
      <c r="DKY33" s="713"/>
      <c r="DKZ33" s="713"/>
      <c r="DLA33" s="713"/>
      <c r="DLB33" s="713"/>
      <c r="DLC33" s="713"/>
      <c r="DLD33" s="713"/>
      <c r="DLE33" s="713"/>
      <c r="DLF33" s="713"/>
      <c r="DLG33" s="713"/>
      <c r="DLH33" s="713"/>
      <c r="DLI33" s="713"/>
      <c r="DLJ33" s="713"/>
      <c r="DLK33" s="713"/>
      <c r="DLL33" s="713"/>
      <c r="DLM33" s="713"/>
      <c r="DLN33" s="713"/>
      <c r="DLO33" s="713"/>
      <c r="DLP33" s="713"/>
      <c r="DLQ33" s="713"/>
      <c r="DLR33" s="713"/>
      <c r="DLS33" s="713"/>
      <c r="DLT33" s="713"/>
      <c r="DLU33" s="713"/>
      <c r="DLV33" s="713"/>
      <c r="DLW33" s="713"/>
      <c r="DLX33" s="713"/>
      <c r="DLY33" s="713"/>
      <c r="DLZ33" s="713"/>
      <c r="DMA33" s="713"/>
      <c r="DMB33" s="713"/>
      <c r="DMC33" s="713"/>
      <c r="DMD33" s="713"/>
      <c r="DME33" s="713"/>
      <c r="DMF33" s="713"/>
      <c r="DMG33" s="713"/>
      <c r="DMH33" s="713"/>
      <c r="DMI33" s="713"/>
      <c r="DMJ33" s="713"/>
      <c r="DMK33" s="713"/>
      <c r="DML33" s="713"/>
      <c r="DMM33" s="713"/>
      <c r="DMN33" s="713"/>
      <c r="DMO33" s="713"/>
      <c r="DMP33" s="713"/>
      <c r="DMQ33" s="713"/>
      <c r="DMR33" s="713"/>
      <c r="DMS33" s="713"/>
      <c r="DMT33" s="713"/>
      <c r="DMU33" s="713"/>
      <c r="DMV33" s="713"/>
      <c r="DMW33" s="713"/>
      <c r="DMX33" s="713"/>
      <c r="DMY33" s="713"/>
      <c r="DMZ33" s="713"/>
      <c r="DNA33" s="713"/>
      <c r="DNB33" s="713"/>
      <c r="DNC33" s="713"/>
      <c r="DND33" s="713"/>
      <c r="DNE33" s="713"/>
      <c r="DNF33" s="713"/>
      <c r="DNG33" s="713"/>
      <c r="DNH33" s="713"/>
      <c r="DNI33" s="713"/>
      <c r="DNJ33" s="713"/>
      <c r="DNK33" s="713"/>
      <c r="DNL33" s="713"/>
      <c r="DNM33" s="713"/>
      <c r="DNN33" s="713"/>
      <c r="DNO33" s="713"/>
      <c r="DNP33" s="713"/>
      <c r="DNQ33" s="713"/>
      <c r="DNR33" s="713"/>
      <c r="DNS33" s="713"/>
      <c r="DNT33" s="713"/>
      <c r="DNU33" s="713"/>
      <c r="DNV33" s="713"/>
      <c r="DNW33" s="713"/>
      <c r="DNX33" s="713"/>
      <c r="DNY33" s="713"/>
      <c r="DNZ33" s="713"/>
      <c r="DOA33" s="713"/>
      <c r="DOB33" s="713"/>
      <c r="DOC33" s="713"/>
      <c r="DOD33" s="713"/>
      <c r="DOE33" s="713"/>
      <c r="DOF33" s="713"/>
      <c r="DOG33" s="713"/>
      <c r="DOH33" s="713"/>
      <c r="DOI33" s="713"/>
      <c r="DOJ33" s="713"/>
      <c r="DOK33" s="713"/>
      <c r="DOL33" s="713"/>
      <c r="DOM33" s="713"/>
      <c r="DON33" s="713"/>
      <c r="DOO33" s="713"/>
      <c r="DOP33" s="713"/>
      <c r="DOQ33" s="713"/>
      <c r="DOR33" s="713"/>
      <c r="DOS33" s="713"/>
      <c r="DOT33" s="713"/>
      <c r="DOU33" s="713"/>
      <c r="DOV33" s="713"/>
      <c r="DOW33" s="713"/>
      <c r="DOX33" s="713"/>
      <c r="DOY33" s="713"/>
      <c r="DOZ33" s="713"/>
      <c r="DPA33" s="713"/>
      <c r="DPB33" s="713"/>
      <c r="DPC33" s="713"/>
      <c r="DPD33" s="713"/>
      <c r="DPE33" s="713"/>
      <c r="DPF33" s="713"/>
      <c r="DPG33" s="713"/>
      <c r="DPH33" s="713"/>
      <c r="DPI33" s="713"/>
      <c r="DPJ33" s="713"/>
      <c r="DPK33" s="713"/>
      <c r="DPL33" s="713"/>
      <c r="DPM33" s="713"/>
      <c r="DPN33" s="713"/>
      <c r="DPO33" s="713"/>
      <c r="DPP33" s="713"/>
      <c r="DPQ33" s="713"/>
      <c r="DPR33" s="713"/>
      <c r="DPS33" s="713"/>
      <c r="DPT33" s="713"/>
      <c r="DPU33" s="713"/>
      <c r="DPV33" s="713"/>
      <c r="DPW33" s="713"/>
      <c r="DPX33" s="713"/>
      <c r="DPY33" s="713"/>
      <c r="DPZ33" s="713"/>
      <c r="DQA33" s="713"/>
      <c r="DQB33" s="713"/>
      <c r="DQC33" s="713"/>
      <c r="DQD33" s="713"/>
      <c r="DQE33" s="713"/>
      <c r="DQF33" s="713"/>
      <c r="DQG33" s="713"/>
      <c r="DQH33" s="713"/>
      <c r="DQI33" s="713"/>
      <c r="DQJ33" s="713"/>
      <c r="DQK33" s="713"/>
      <c r="DQL33" s="713"/>
      <c r="DQM33" s="713"/>
      <c r="DQN33" s="713"/>
      <c r="DQO33" s="713"/>
      <c r="DQP33" s="713"/>
      <c r="DQQ33" s="713"/>
      <c r="DQR33" s="713"/>
      <c r="DQS33" s="713"/>
      <c r="DQT33" s="713"/>
      <c r="DQU33" s="713"/>
      <c r="DQV33" s="713"/>
      <c r="DQW33" s="713"/>
      <c r="DQX33" s="713"/>
      <c r="DQY33" s="713"/>
      <c r="DQZ33" s="713"/>
      <c r="DRA33" s="713"/>
      <c r="DRB33" s="713"/>
      <c r="DRC33" s="713"/>
      <c r="DRD33" s="713"/>
      <c r="DRE33" s="713"/>
      <c r="DRF33" s="713"/>
      <c r="DRG33" s="713"/>
      <c r="DRH33" s="713"/>
      <c r="DRI33" s="713"/>
      <c r="DRJ33" s="713"/>
      <c r="DRK33" s="713"/>
      <c r="DRL33" s="713"/>
      <c r="DRM33" s="713"/>
      <c r="DRN33" s="713"/>
      <c r="DRO33" s="713"/>
      <c r="DRP33" s="713"/>
      <c r="DRQ33" s="713"/>
      <c r="DRR33" s="713"/>
      <c r="DRS33" s="713"/>
      <c r="DRT33" s="713"/>
      <c r="DRU33" s="713"/>
      <c r="DRV33" s="713"/>
      <c r="DRW33" s="713"/>
      <c r="DRX33" s="713"/>
      <c r="DRY33" s="713"/>
      <c r="DRZ33" s="713"/>
      <c r="DSA33" s="713"/>
      <c r="DSB33" s="713"/>
      <c r="DSC33" s="713"/>
      <c r="DSD33" s="713"/>
      <c r="DSE33" s="713"/>
      <c r="DSF33" s="713"/>
      <c r="DSG33" s="713"/>
      <c r="DSH33" s="713"/>
      <c r="DSI33" s="713"/>
      <c r="DSJ33" s="713"/>
      <c r="DSK33" s="713"/>
      <c r="DSL33" s="713"/>
      <c r="DSM33" s="713"/>
      <c r="DSN33" s="713"/>
      <c r="DSO33" s="713"/>
      <c r="DSP33" s="713"/>
      <c r="DSQ33" s="713"/>
      <c r="DSR33" s="713"/>
      <c r="DSS33" s="713"/>
      <c r="DST33" s="713"/>
      <c r="DSU33" s="713"/>
      <c r="DSV33" s="713"/>
      <c r="DSW33" s="713"/>
      <c r="DSX33" s="713"/>
      <c r="DSY33" s="713"/>
      <c r="DSZ33" s="713"/>
      <c r="DTA33" s="713"/>
      <c r="DTB33" s="713"/>
      <c r="DTC33" s="713"/>
      <c r="DTD33" s="713"/>
      <c r="DTE33" s="713"/>
      <c r="DTF33" s="713"/>
      <c r="DTG33" s="713"/>
      <c r="DTH33" s="713"/>
      <c r="DTI33" s="713"/>
      <c r="DTJ33" s="713"/>
      <c r="DTK33" s="713"/>
      <c r="DTL33" s="713"/>
      <c r="DTM33" s="713"/>
      <c r="DTN33" s="713"/>
      <c r="DTO33" s="713"/>
      <c r="DTP33" s="713"/>
      <c r="DTQ33" s="713"/>
      <c r="DTR33" s="713"/>
      <c r="DTS33" s="713"/>
      <c r="DTT33" s="713"/>
      <c r="DTU33" s="713"/>
      <c r="DTV33" s="713"/>
      <c r="DTW33" s="713"/>
      <c r="DTX33" s="713"/>
      <c r="DTY33" s="713"/>
      <c r="DTZ33" s="713"/>
      <c r="DUA33" s="713"/>
      <c r="DUB33" s="713"/>
      <c r="DUC33" s="713"/>
      <c r="DUD33" s="713"/>
      <c r="DUE33" s="713"/>
      <c r="DUF33" s="713"/>
      <c r="DUG33" s="713"/>
      <c r="DUH33" s="713"/>
      <c r="DUI33" s="713"/>
      <c r="DUJ33" s="713"/>
      <c r="DUK33" s="713"/>
      <c r="DUL33" s="713"/>
      <c r="DUM33" s="713"/>
      <c r="DUN33" s="713"/>
      <c r="DUO33" s="713"/>
      <c r="DUP33" s="713"/>
      <c r="DUQ33" s="713"/>
      <c r="DUR33" s="713"/>
      <c r="DUS33" s="713"/>
      <c r="DUT33" s="713"/>
      <c r="DUU33" s="713"/>
      <c r="DUV33" s="713"/>
      <c r="DUW33" s="713"/>
      <c r="DUX33" s="713"/>
      <c r="DUY33" s="713"/>
      <c r="DUZ33" s="713"/>
      <c r="DVA33" s="713"/>
      <c r="DVB33" s="713"/>
      <c r="DVC33" s="713"/>
      <c r="DVD33" s="713"/>
      <c r="DVE33" s="713"/>
      <c r="DVF33" s="713"/>
      <c r="DVG33" s="713"/>
      <c r="DVH33" s="713"/>
      <c r="DVI33" s="713"/>
      <c r="DVJ33" s="713"/>
      <c r="DVK33" s="713"/>
      <c r="DVL33" s="713"/>
      <c r="DVM33" s="713"/>
      <c r="DVN33" s="713"/>
      <c r="DVO33" s="713"/>
      <c r="DVP33" s="713"/>
      <c r="DVQ33" s="713"/>
      <c r="DVR33" s="713"/>
      <c r="DVS33" s="713"/>
      <c r="DVT33" s="713"/>
      <c r="DVU33" s="713"/>
      <c r="DVV33" s="713"/>
      <c r="DVW33" s="713"/>
      <c r="DVX33" s="713"/>
      <c r="DVY33" s="713"/>
      <c r="DVZ33" s="713"/>
      <c r="DWA33" s="713"/>
      <c r="DWB33" s="713"/>
      <c r="DWC33" s="713"/>
      <c r="DWD33" s="713"/>
      <c r="DWE33" s="713"/>
      <c r="DWF33" s="713"/>
      <c r="DWG33" s="713"/>
      <c r="DWH33" s="713"/>
      <c r="DWI33" s="713"/>
      <c r="DWJ33" s="713"/>
      <c r="DWK33" s="713"/>
      <c r="DWL33" s="713"/>
      <c r="DWM33" s="713"/>
      <c r="DWN33" s="713"/>
      <c r="DWO33" s="713"/>
      <c r="DWP33" s="713"/>
      <c r="DWQ33" s="713"/>
      <c r="DWR33" s="713"/>
      <c r="DWS33" s="713"/>
      <c r="DWT33" s="713"/>
      <c r="DWU33" s="713"/>
      <c r="DWV33" s="713"/>
      <c r="DWW33" s="713"/>
      <c r="DWX33" s="713"/>
      <c r="DWY33" s="713"/>
      <c r="DWZ33" s="713"/>
      <c r="DXA33" s="713"/>
      <c r="DXB33" s="713"/>
      <c r="DXC33" s="713"/>
      <c r="DXD33" s="713"/>
      <c r="DXE33" s="713"/>
      <c r="DXF33" s="713"/>
      <c r="DXG33" s="713"/>
      <c r="DXH33" s="713"/>
      <c r="DXI33" s="713"/>
      <c r="DXJ33" s="713"/>
      <c r="DXK33" s="713"/>
      <c r="DXL33" s="713"/>
      <c r="DXM33" s="713"/>
      <c r="DXN33" s="713"/>
      <c r="DXO33" s="713"/>
      <c r="DXP33" s="713"/>
      <c r="DXQ33" s="713"/>
      <c r="DXR33" s="713"/>
      <c r="DXS33" s="713"/>
      <c r="DXT33" s="713"/>
      <c r="DXU33" s="713"/>
      <c r="DXV33" s="713"/>
      <c r="DXW33" s="713"/>
      <c r="DXX33" s="713"/>
      <c r="DXY33" s="713"/>
      <c r="DXZ33" s="713"/>
      <c r="DYA33" s="713"/>
      <c r="DYB33" s="713"/>
      <c r="DYC33" s="713"/>
      <c r="DYD33" s="713"/>
      <c r="DYE33" s="713"/>
      <c r="DYF33" s="713"/>
      <c r="DYG33" s="713"/>
      <c r="DYH33" s="713"/>
      <c r="DYI33" s="713"/>
      <c r="DYJ33" s="713"/>
      <c r="DYK33" s="713"/>
      <c r="DYL33" s="713"/>
      <c r="DYM33" s="713"/>
      <c r="DYN33" s="713"/>
      <c r="DYO33" s="713"/>
      <c r="DYP33" s="713"/>
      <c r="DYQ33" s="713"/>
      <c r="DYR33" s="713"/>
      <c r="DYS33" s="713"/>
      <c r="DYT33" s="713"/>
      <c r="DYU33" s="713"/>
      <c r="DYV33" s="713"/>
      <c r="DYW33" s="713"/>
      <c r="DYX33" s="713"/>
      <c r="DYY33" s="713"/>
      <c r="DYZ33" s="713"/>
      <c r="DZA33" s="713"/>
      <c r="DZB33" s="713"/>
      <c r="DZC33" s="713"/>
      <c r="DZD33" s="713"/>
      <c r="DZE33" s="713"/>
      <c r="DZF33" s="713"/>
      <c r="DZG33" s="713"/>
      <c r="DZH33" s="713"/>
      <c r="DZI33" s="713"/>
      <c r="DZJ33" s="713"/>
      <c r="DZK33" s="713"/>
      <c r="DZL33" s="713"/>
      <c r="DZM33" s="713"/>
      <c r="DZN33" s="713"/>
      <c r="DZO33" s="713"/>
      <c r="DZP33" s="713"/>
      <c r="DZQ33" s="713"/>
      <c r="DZR33" s="713"/>
      <c r="DZS33" s="713"/>
      <c r="DZT33" s="713"/>
      <c r="DZU33" s="713"/>
      <c r="DZV33" s="713"/>
      <c r="DZW33" s="713"/>
      <c r="DZX33" s="713"/>
      <c r="DZY33" s="713"/>
      <c r="DZZ33" s="713"/>
      <c r="EAA33" s="713"/>
      <c r="EAB33" s="713"/>
      <c r="EAC33" s="713"/>
      <c r="EAD33" s="713"/>
      <c r="EAE33" s="713"/>
      <c r="EAF33" s="713"/>
      <c r="EAG33" s="713"/>
      <c r="EAH33" s="713"/>
      <c r="EAI33" s="713"/>
      <c r="EAJ33" s="713"/>
      <c r="EAK33" s="713"/>
      <c r="EAL33" s="713"/>
      <c r="EAM33" s="713"/>
      <c r="EAN33" s="713"/>
      <c r="EAO33" s="713"/>
      <c r="EAP33" s="713"/>
      <c r="EAQ33" s="713"/>
      <c r="EAR33" s="713"/>
      <c r="EAS33" s="713"/>
      <c r="EAT33" s="713"/>
      <c r="EAU33" s="713"/>
      <c r="EAV33" s="713"/>
      <c r="EAW33" s="713"/>
      <c r="EAX33" s="713"/>
      <c r="EAY33" s="713"/>
      <c r="EAZ33" s="713"/>
      <c r="EBA33" s="713"/>
      <c r="EBB33" s="713"/>
      <c r="EBC33" s="713"/>
      <c r="EBD33" s="713"/>
      <c r="EBE33" s="713"/>
      <c r="EBF33" s="713"/>
      <c r="EBG33" s="713"/>
      <c r="EBH33" s="713"/>
      <c r="EBI33" s="713"/>
      <c r="EBJ33" s="713"/>
      <c r="EBK33" s="713"/>
      <c r="EBL33" s="713"/>
      <c r="EBM33" s="713"/>
      <c r="EBN33" s="713"/>
      <c r="EBO33" s="713"/>
      <c r="EBP33" s="713"/>
      <c r="EBQ33" s="713"/>
      <c r="EBR33" s="713"/>
      <c r="EBS33" s="713"/>
      <c r="EBT33" s="713"/>
      <c r="EBU33" s="713"/>
      <c r="EBV33" s="713"/>
      <c r="EBW33" s="713"/>
      <c r="EBX33" s="713"/>
      <c r="EBY33" s="713"/>
      <c r="EBZ33" s="713"/>
      <c r="ECA33" s="713"/>
      <c r="ECB33" s="713"/>
      <c r="ECC33" s="713"/>
      <c r="ECD33" s="713"/>
      <c r="ECE33" s="713"/>
      <c r="ECF33" s="713"/>
      <c r="ECG33" s="713"/>
      <c r="ECH33" s="713"/>
      <c r="ECI33" s="713"/>
      <c r="ECJ33" s="713"/>
      <c r="ECK33" s="713"/>
      <c r="ECL33" s="713"/>
      <c r="ECM33" s="713"/>
      <c r="ECN33" s="713"/>
      <c r="ECO33" s="713"/>
      <c r="ECP33" s="713"/>
      <c r="ECQ33" s="713"/>
      <c r="ECR33" s="713"/>
      <c r="ECS33" s="713"/>
      <c r="ECT33" s="713"/>
      <c r="ECU33" s="713"/>
      <c r="ECV33" s="713"/>
      <c r="ECW33" s="713"/>
      <c r="ECX33" s="713"/>
      <c r="ECY33" s="713"/>
      <c r="ECZ33" s="713"/>
      <c r="EDA33" s="713"/>
      <c r="EDB33" s="713"/>
      <c r="EDC33" s="713"/>
      <c r="EDD33" s="713"/>
      <c r="EDE33" s="713"/>
      <c r="EDF33" s="713"/>
      <c r="EDG33" s="713"/>
      <c r="EDH33" s="713"/>
      <c r="EDI33" s="713"/>
      <c r="EDJ33" s="713"/>
      <c r="EDK33" s="713"/>
      <c r="EDL33" s="713"/>
      <c r="EDM33" s="713"/>
      <c r="EDN33" s="713"/>
      <c r="EDO33" s="713"/>
      <c r="EDP33" s="713"/>
      <c r="EDQ33" s="713"/>
      <c r="EDR33" s="713"/>
      <c r="EDS33" s="713"/>
      <c r="EDT33" s="713"/>
      <c r="EDU33" s="713"/>
      <c r="EDV33" s="713"/>
      <c r="EDW33" s="713"/>
      <c r="EDX33" s="713"/>
      <c r="EDY33" s="713"/>
      <c r="EDZ33" s="713"/>
      <c r="EEA33" s="713"/>
      <c r="EEB33" s="713"/>
      <c r="EEC33" s="713"/>
      <c r="EED33" s="713"/>
      <c r="EEE33" s="713"/>
      <c r="EEF33" s="713"/>
      <c r="EEG33" s="713"/>
      <c r="EEH33" s="713"/>
      <c r="EEI33" s="713"/>
      <c r="EEJ33" s="713"/>
      <c r="EEK33" s="713"/>
      <c r="EEL33" s="713"/>
      <c r="EEM33" s="713"/>
      <c r="EEN33" s="713"/>
      <c r="EEO33" s="713"/>
      <c r="EEP33" s="713"/>
      <c r="EEQ33" s="713"/>
      <c r="EER33" s="713"/>
      <c r="EES33" s="713"/>
      <c r="EET33" s="713"/>
      <c r="EEU33" s="713"/>
      <c r="EEV33" s="713"/>
      <c r="EEW33" s="713"/>
      <c r="EEX33" s="713"/>
      <c r="EEY33" s="713"/>
      <c r="EEZ33" s="713"/>
      <c r="EFA33" s="713"/>
      <c r="EFB33" s="713"/>
      <c r="EFC33" s="713"/>
      <c r="EFD33" s="713"/>
      <c r="EFE33" s="713"/>
      <c r="EFF33" s="713"/>
      <c r="EFG33" s="713"/>
      <c r="EFH33" s="713"/>
      <c r="EFI33" s="713"/>
      <c r="EFJ33" s="713"/>
      <c r="EFK33" s="713"/>
      <c r="EFL33" s="713"/>
      <c r="EFM33" s="713"/>
      <c r="EFN33" s="713"/>
      <c r="EFO33" s="713"/>
      <c r="EFP33" s="713"/>
      <c r="EFQ33" s="713"/>
      <c r="EFR33" s="713"/>
      <c r="EFS33" s="713"/>
      <c r="EFT33" s="713"/>
      <c r="EFU33" s="713"/>
      <c r="EFV33" s="713"/>
      <c r="EFW33" s="713"/>
      <c r="EFX33" s="713"/>
      <c r="EFY33" s="713"/>
      <c r="EFZ33" s="713"/>
      <c r="EGA33" s="713"/>
      <c r="EGB33" s="713"/>
      <c r="EGC33" s="713"/>
      <c r="EGD33" s="713"/>
      <c r="EGE33" s="713"/>
      <c r="EGF33" s="713"/>
      <c r="EGG33" s="713"/>
      <c r="EGH33" s="713"/>
      <c r="EGI33" s="713"/>
      <c r="EGJ33" s="713"/>
      <c r="EGK33" s="713"/>
      <c r="EGL33" s="713"/>
      <c r="EGM33" s="713"/>
      <c r="EGN33" s="713"/>
      <c r="EGO33" s="713"/>
      <c r="EGP33" s="713"/>
      <c r="EGQ33" s="713"/>
      <c r="EGR33" s="713"/>
      <c r="EGS33" s="713"/>
      <c r="EGT33" s="713"/>
      <c r="EGU33" s="713"/>
      <c r="EGV33" s="713"/>
      <c r="EGW33" s="713"/>
      <c r="EGX33" s="713"/>
      <c r="EGY33" s="713"/>
      <c r="EGZ33" s="713"/>
      <c r="EHA33" s="713"/>
      <c r="EHB33" s="713"/>
      <c r="EHC33" s="713"/>
      <c r="EHD33" s="713"/>
      <c r="EHE33" s="713"/>
      <c r="EHF33" s="713"/>
      <c r="EHG33" s="713"/>
      <c r="EHH33" s="713"/>
      <c r="EHI33" s="713"/>
      <c r="EHJ33" s="713"/>
      <c r="EHK33" s="713"/>
      <c r="EHL33" s="713"/>
      <c r="EHM33" s="713"/>
      <c r="EHN33" s="713"/>
      <c r="EHO33" s="713"/>
      <c r="EHP33" s="713"/>
      <c r="EHQ33" s="713"/>
      <c r="EHR33" s="713"/>
      <c r="EHS33" s="713"/>
      <c r="EHT33" s="713"/>
      <c r="EHU33" s="713"/>
      <c r="EHV33" s="713"/>
      <c r="EHW33" s="713"/>
      <c r="EHX33" s="713"/>
      <c r="EHY33" s="713"/>
      <c r="EHZ33" s="713"/>
      <c r="EIA33" s="713"/>
      <c r="EIB33" s="713"/>
      <c r="EIC33" s="713"/>
      <c r="EID33" s="713"/>
      <c r="EIE33" s="713"/>
      <c r="EIF33" s="713"/>
      <c r="EIG33" s="713"/>
      <c r="EIH33" s="713"/>
      <c r="EII33" s="713"/>
      <c r="EIJ33" s="713"/>
      <c r="EIK33" s="713"/>
      <c r="EIL33" s="713"/>
      <c r="EIM33" s="713"/>
      <c r="EIN33" s="713"/>
      <c r="EIO33" s="713"/>
      <c r="EIP33" s="713"/>
      <c r="EIQ33" s="713"/>
      <c r="EIR33" s="713"/>
      <c r="EIS33" s="713"/>
      <c r="EIT33" s="713"/>
      <c r="EIU33" s="713"/>
      <c r="EIV33" s="713"/>
      <c r="EIW33" s="713"/>
      <c r="EIX33" s="713"/>
      <c r="EIY33" s="713"/>
      <c r="EIZ33" s="713"/>
      <c r="EJA33" s="713"/>
      <c r="EJB33" s="713"/>
      <c r="EJC33" s="713"/>
      <c r="EJD33" s="713"/>
      <c r="EJE33" s="713"/>
      <c r="EJF33" s="713"/>
      <c r="EJG33" s="713"/>
      <c r="EJH33" s="713"/>
      <c r="EJI33" s="713"/>
      <c r="EJJ33" s="713"/>
      <c r="EJK33" s="713"/>
      <c r="EJL33" s="713"/>
      <c r="EJM33" s="713"/>
      <c r="EJN33" s="713"/>
      <c r="EJO33" s="713"/>
      <c r="EJP33" s="713"/>
      <c r="EJQ33" s="713"/>
      <c r="EJR33" s="713"/>
      <c r="EJS33" s="713"/>
      <c r="EJT33" s="713"/>
      <c r="EJU33" s="713"/>
      <c r="EJV33" s="713"/>
      <c r="EJW33" s="713"/>
      <c r="EJX33" s="713"/>
      <c r="EJY33" s="713"/>
      <c r="EJZ33" s="713"/>
      <c r="EKA33" s="713"/>
      <c r="EKB33" s="713"/>
      <c r="EKC33" s="713"/>
      <c r="EKD33" s="713"/>
      <c r="EKE33" s="713"/>
      <c r="EKF33" s="713"/>
      <c r="EKG33" s="713"/>
      <c r="EKH33" s="713"/>
      <c r="EKI33" s="713"/>
      <c r="EKJ33" s="713"/>
      <c r="EKK33" s="713"/>
      <c r="EKL33" s="713"/>
      <c r="EKM33" s="713"/>
      <c r="EKN33" s="713"/>
      <c r="EKO33" s="713"/>
      <c r="EKP33" s="713"/>
      <c r="EKQ33" s="713"/>
      <c r="EKR33" s="713"/>
      <c r="EKS33" s="713"/>
      <c r="EKT33" s="713"/>
      <c r="EKU33" s="713"/>
      <c r="EKV33" s="713"/>
      <c r="EKW33" s="713"/>
      <c r="EKX33" s="713"/>
      <c r="EKY33" s="713"/>
      <c r="EKZ33" s="713"/>
      <c r="ELA33" s="713"/>
      <c r="ELB33" s="713"/>
      <c r="ELC33" s="713"/>
      <c r="ELD33" s="713"/>
      <c r="ELE33" s="713"/>
      <c r="ELF33" s="713"/>
      <c r="ELG33" s="713"/>
      <c r="ELH33" s="713"/>
      <c r="ELI33" s="713"/>
      <c r="ELJ33" s="713"/>
      <c r="ELK33" s="713"/>
      <c r="ELL33" s="713"/>
      <c r="ELM33" s="713"/>
      <c r="ELN33" s="713"/>
      <c r="ELO33" s="713"/>
      <c r="ELP33" s="713"/>
      <c r="ELQ33" s="713"/>
      <c r="ELR33" s="713"/>
      <c r="ELS33" s="713"/>
      <c r="ELT33" s="713"/>
      <c r="ELU33" s="713"/>
      <c r="ELV33" s="713"/>
      <c r="ELW33" s="713"/>
      <c r="ELX33" s="713"/>
      <c r="ELY33" s="713"/>
      <c r="ELZ33" s="713"/>
      <c r="EMA33" s="713"/>
      <c r="EMB33" s="713"/>
      <c r="EMC33" s="713"/>
      <c r="EMD33" s="713"/>
      <c r="EME33" s="713"/>
      <c r="EMF33" s="713"/>
      <c r="EMG33" s="713"/>
      <c r="EMH33" s="713"/>
      <c r="EMI33" s="713"/>
      <c r="EMJ33" s="713"/>
      <c r="EMK33" s="713"/>
      <c r="EML33" s="713"/>
      <c r="EMM33" s="713"/>
      <c r="EMN33" s="713"/>
      <c r="EMO33" s="713"/>
      <c r="EMP33" s="713"/>
      <c r="EMQ33" s="713"/>
      <c r="EMR33" s="713"/>
      <c r="EMS33" s="713"/>
      <c r="EMT33" s="713"/>
      <c r="EMU33" s="713"/>
      <c r="EMV33" s="713"/>
      <c r="EMW33" s="713"/>
      <c r="EMX33" s="713"/>
      <c r="EMY33" s="713"/>
      <c r="EMZ33" s="713"/>
      <c r="ENA33" s="713"/>
      <c r="ENB33" s="713"/>
      <c r="ENC33" s="713"/>
      <c r="END33" s="713"/>
      <c r="ENE33" s="713"/>
      <c r="ENF33" s="713"/>
      <c r="ENG33" s="713"/>
      <c r="ENH33" s="713"/>
      <c r="ENI33" s="713"/>
      <c r="ENJ33" s="713"/>
      <c r="ENK33" s="713"/>
      <c r="ENL33" s="713"/>
      <c r="ENM33" s="713"/>
      <c r="ENN33" s="713"/>
      <c r="ENO33" s="713"/>
      <c r="ENP33" s="713"/>
      <c r="ENQ33" s="713"/>
      <c r="ENR33" s="713"/>
      <c r="ENS33" s="713"/>
      <c r="ENT33" s="713"/>
      <c r="ENU33" s="713"/>
      <c r="ENV33" s="713"/>
      <c r="ENW33" s="713"/>
      <c r="ENX33" s="713"/>
      <c r="ENY33" s="713"/>
      <c r="ENZ33" s="713"/>
      <c r="EOA33" s="713"/>
      <c r="EOB33" s="713"/>
      <c r="EOC33" s="713"/>
      <c r="EOD33" s="713"/>
      <c r="EOE33" s="713"/>
      <c r="EOF33" s="713"/>
      <c r="EOG33" s="713"/>
      <c r="EOH33" s="713"/>
      <c r="EOI33" s="713"/>
      <c r="EOJ33" s="713"/>
      <c r="EOK33" s="713"/>
      <c r="EOL33" s="713"/>
      <c r="EOM33" s="713"/>
      <c r="EON33" s="713"/>
      <c r="EOO33" s="713"/>
      <c r="EOP33" s="713"/>
      <c r="EOQ33" s="713"/>
      <c r="EOR33" s="713"/>
      <c r="EOS33" s="713"/>
      <c r="EOT33" s="713"/>
      <c r="EOU33" s="713"/>
      <c r="EOV33" s="713"/>
      <c r="EOW33" s="713"/>
      <c r="EOX33" s="713"/>
      <c r="EOY33" s="713"/>
      <c r="EOZ33" s="713"/>
      <c r="EPA33" s="713"/>
      <c r="EPB33" s="713"/>
      <c r="EPC33" s="713"/>
      <c r="EPD33" s="713"/>
      <c r="EPE33" s="713"/>
      <c r="EPF33" s="713"/>
      <c r="EPG33" s="713"/>
      <c r="EPH33" s="713"/>
      <c r="EPI33" s="713"/>
      <c r="EPJ33" s="713"/>
      <c r="EPK33" s="713"/>
      <c r="EPL33" s="713"/>
      <c r="EPM33" s="713"/>
      <c r="EPN33" s="713"/>
      <c r="EPO33" s="713"/>
      <c r="EPP33" s="713"/>
      <c r="EPQ33" s="713"/>
      <c r="EPR33" s="713"/>
      <c r="EPS33" s="713"/>
      <c r="EPT33" s="713"/>
      <c r="EPU33" s="713"/>
      <c r="EPV33" s="713"/>
      <c r="EPW33" s="713"/>
      <c r="EPX33" s="713"/>
      <c r="EPY33" s="713"/>
      <c r="EPZ33" s="713"/>
      <c r="EQA33" s="713"/>
      <c r="EQB33" s="713"/>
      <c r="EQC33" s="713"/>
      <c r="EQD33" s="713"/>
      <c r="EQE33" s="713"/>
      <c r="EQF33" s="713"/>
      <c r="EQG33" s="713"/>
      <c r="EQH33" s="713"/>
      <c r="EQI33" s="713"/>
      <c r="EQJ33" s="713"/>
      <c r="EQK33" s="713"/>
      <c r="EQL33" s="713"/>
      <c r="EQM33" s="713"/>
      <c r="EQN33" s="713"/>
      <c r="EQO33" s="713"/>
      <c r="EQP33" s="713"/>
      <c r="EQQ33" s="713"/>
      <c r="EQR33" s="713"/>
      <c r="EQS33" s="713"/>
      <c r="EQT33" s="713"/>
      <c r="EQU33" s="713"/>
      <c r="EQV33" s="713"/>
      <c r="EQW33" s="713"/>
      <c r="EQX33" s="713"/>
      <c r="EQY33" s="713"/>
      <c r="EQZ33" s="713"/>
      <c r="ERA33" s="713"/>
      <c r="ERB33" s="713"/>
      <c r="ERC33" s="713"/>
      <c r="ERD33" s="713"/>
      <c r="ERE33" s="713"/>
      <c r="ERF33" s="713"/>
      <c r="ERG33" s="713"/>
      <c r="ERH33" s="713"/>
      <c r="ERI33" s="713"/>
      <c r="ERJ33" s="713"/>
      <c r="ERK33" s="713"/>
      <c r="ERL33" s="713"/>
      <c r="ERM33" s="713"/>
      <c r="ERN33" s="713"/>
      <c r="ERO33" s="713"/>
      <c r="ERP33" s="713"/>
      <c r="ERQ33" s="713"/>
      <c r="ERR33" s="713"/>
      <c r="ERS33" s="713"/>
      <c r="ERT33" s="713"/>
      <c r="ERU33" s="713"/>
      <c r="ERV33" s="713"/>
      <c r="ERW33" s="713"/>
      <c r="ERX33" s="713"/>
      <c r="ERY33" s="713"/>
      <c r="ERZ33" s="713"/>
      <c r="ESA33" s="713"/>
      <c r="ESB33" s="713"/>
      <c r="ESC33" s="713"/>
      <c r="ESD33" s="713"/>
      <c r="ESE33" s="713"/>
      <c r="ESF33" s="713"/>
      <c r="ESG33" s="713"/>
      <c r="ESH33" s="713"/>
      <c r="ESI33" s="713"/>
      <c r="ESJ33" s="713"/>
      <c r="ESK33" s="713"/>
      <c r="ESL33" s="713"/>
      <c r="ESM33" s="713"/>
      <c r="ESN33" s="713"/>
      <c r="ESO33" s="713"/>
      <c r="ESP33" s="713"/>
      <c r="ESQ33" s="713"/>
      <c r="ESR33" s="713"/>
      <c r="ESS33" s="713"/>
      <c r="EST33" s="713"/>
      <c r="ESU33" s="713"/>
      <c r="ESV33" s="713"/>
      <c r="ESW33" s="713"/>
      <c r="ESX33" s="713"/>
      <c r="ESY33" s="713"/>
      <c r="ESZ33" s="713"/>
      <c r="ETA33" s="713"/>
      <c r="ETB33" s="713"/>
      <c r="ETC33" s="713"/>
      <c r="ETD33" s="713"/>
      <c r="ETE33" s="713"/>
      <c r="ETF33" s="713"/>
      <c r="ETG33" s="713"/>
      <c r="ETH33" s="713"/>
      <c r="ETI33" s="713"/>
      <c r="ETJ33" s="713"/>
      <c r="ETK33" s="713"/>
      <c r="ETL33" s="713"/>
      <c r="ETM33" s="713"/>
      <c r="ETN33" s="713"/>
      <c r="ETO33" s="713"/>
      <c r="ETP33" s="713"/>
      <c r="ETQ33" s="713"/>
      <c r="ETR33" s="713"/>
      <c r="ETS33" s="713"/>
      <c r="ETT33" s="713"/>
      <c r="ETU33" s="713"/>
      <c r="ETV33" s="713"/>
      <c r="ETW33" s="713"/>
      <c r="ETX33" s="713"/>
      <c r="ETY33" s="713"/>
      <c r="ETZ33" s="713"/>
      <c r="EUA33" s="713"/>
      <c r="EUB33" s="713"/>
      <c r="EUC33" s="713"/>
      <c r="EUD33" s="713"/>
      <c r="EUE33" s="713"/>
      <c r="EUF33" s="713"/>
      <c r="EUG33" s="713"/>
      <c r="EUH33" s="713"/>
      <c r="EUI33" s="713"/>
      <c r="EUJ33" s="713"/>
      <c r="EUK33" s="713"/>
      <c r="EUL33" s="713"/>
      <c r="EUM33" s="713"/>
      <c r="EUN33" s="713"/>
      <c r="EUO33" s="713"/>
      <c r="EUP33" s="713"/>
      <c r="EUQ33" s="713"/>
      <c r="EUR33" s="713"/>
      <c r="EUS33" s="713"/>
      <c r="EUT33" s="713"/>
      <c r="EUU33" s="713"/>
      <c r="EUV33" s="713"/>
      <c r="EUW33" s="713"/>
      <c r="EUX33" s="713"/>
      <c r="EUY33" s="713"/>
      <c r="EUZ33" s="713"/>
      <c r="EVA33" s="713"/>
      <c r="EVB33" s="713"/>
      <c r="EVC33" s="713"/>
      <c r="EVD33" s="713"/>
      <c r="EVE33" s="713"/>
      <c r="EVF33" s="713"/>
      <c r="EVG33" s="713"/>
      <c r="EVH33" s="713"/>
      <c r="EVI33" s="713"/>
      <c r="EVJ33" s="713"/>
      <c r="EVK33" s="713"/>
      <c r="EVL33" s="713"/>
      <c r="EVM33" s="713"/>
      <c r="EVN33" s="713"/>
      <c r="EVO33" s="713"/>
      <c r="EVP33" s="713"/>
      <c r="EVQ33" s="713"/>
      <c r="EVR33" s="713"/>
      <c r="EVS33" s="713"/>
      <c r="EVT33" s="713"/>
      <c r="EVU33" s="713"/>
      <c r="EVV33" s="713"/>
      <c r="EVW33" s="713"/>
      <c r="EVX33" s="713"/>
      <c r="EVY33" s="713"/>
      <c r="EVZ33" s="713"/>
      <c r="EWA33" s="713"/>
      <c r="EWB33" s="713"/>
      <c r="EWC33" s="713"/>
      <c r="EWD33" s="713"/>
      <c r="EWE33" s="713"/>
      <c r="EWF33" s="713"/>
      <c r="EWG33" s="713"/>
      <c r="EWH33" s="713"/>
      <c r="EWI33" s="713"/>
      <c r="EWJ33" s="713"/>
      <c r="EWK33" s="713"/>
      <c r="EWL33" s="713"/>
      <c r="EWM33" s="713"/>
      <c r="EWN33" s="713"/>
      <c r="EWO33" s="713"/>
      <c r="EWP33" s="713"/>
      <c r="EWQ33" s="713"/>
      <c r="EWR33" s="713"/>
      <c r="EWS33" s="713"/>
      <c r="EWT33" s="713"/>
      <c r="EWU33" s="713"/>
      <c r="EWV33" s="713"/>
      <c r="EWW33" s="713"/>
      <c r="EWX33" s="713"/>
      <c r="EWY33" s="713"/>
      <c r="EWZ33" s="713"/>
      <c r="EXA33" s="713"/>
      <c r="EXB33" s="713"/>
      <c r="EXC33" s="713"/>
      <c r="EXD33" s="713"/>
      <c r="EXE33" s="713"/>
      <c r="EXF33" s="713"/>
      <c r="EXG33" s="713"/>
      <c r="EXH33" s="713"/>
      <c r="EXI33" s="713"/>
      <c r="EXJ33" s="713"/>
      <c r="EXK33" s="713"/>
      <c r="EXL33" s="713"/>
      <c r="EXM33" s="713"/>
      <c r="EXN33" s="713"/>
      <c r="EXO33" s="713"/>
      <c r="EXP33" s="713"/>
      <c r="EXQ33" s="713"/>
      <c r="EXR33" s="713"/>
      <c r="EXS33" s="713"/>
      <c r="EXT33" s="713"/>
      <c r="EXU33" s="713"/>
      <c r="EXV33" s="713"/>
      <c r="EXW33" s="713"/>
      <c r="EXX33" s="713"/>
      <c r="EXY33" s="713"/>
      <c r="EXZ33" s="713"/>
      <c r="EYA33" s="713"/>
      <c r="EYB33" s="713"/>
      <c r="EYC33" s="713"/>
      <c r="EYD33" s="713"/>
      <c r="EYE33" s="713"/>
      <c r="EYF33" s="713"/>
      <c r="EYG33" s="713"/>
      <c r="EYH33" s="713"/>
      <c r="EYI33" s="713"/>
      <c r="EYJ33" s="713"/>
      <c r="EYK33" s="713"/>
      <c r="EYL33" s="713"/>
      <c r="EYM33" s="713"/>
      <c r="EYN33" s="713"/>
      <c r="EYO33" s="713"/>
      <c r="EYP33" s="713"/>
      <c r="EYQ33" s="713"/>
      <c r="EYR33" s="713"/>
      <c r="EYS33" s="713"/>
      <c r="EYT33" s="713"/>
      <c r="EYU33" s="713"/>
      <c r="EYV33" s="713"/>
      <c r="EYW33" s="713"/>
      <c r="EYX33" s="713"/>
      <c r="EYY33" s="713"/>
      <c r="EYZ33" s="713"/>
      <c r="EZA33" s="713"/>
      <c r="EZB33" s="713"/>
      <c r="EZC33" s="713"/>
      <c r="EZD33" s="713"/>
      <c r="EZE33" s="713"/>
      <c r="EZF33" s="713"/>
      <c r="EZG33" s="713"/>
      <c r="EZH33" s="713"/>
      <c r="EZI33" s="713"/>
      <c r="EZJ33" s="713"/>
      <c r="EZK33" s="713"/>
      <c r="EZL33" s="713"/>
      <c r="EZM33" s="713"/>
      <c r="EZN33" s="713"/>
      <c r="EZO33" s="713"/>
      <c r="EZP33" s="713"/>
      <c r="EZQ33" s="713"/>
      <c r="EZR33" s="713"/>
      <c r="EZS33" s="713"/>
      <c r="EZT33" s="713"/>
      <c r="EZU33" s="713"/>
      <c r="EZV33" s="713"/>
      <c r="EZW33" s="713"/>
      <c r="EZX33" s="713"/>
      <c r="EZY33" s="713"/>
      <c r="EZZ33" s="713"/>
      <c r="FAA33" s="713"/>
      <c r="FAB33" s="713"/>
      <c r="FAC33" s="713"/>
      <c r="FAD33" s="713"/>
      <c r="FAE33" s="713"/>
      <c r="FAF33" s="713"/>
      <c r="FAG33" s="713"/>
      <c r="FAH33" s="713"/>
      <c r="FAI33" s="713"/>
      <c r="FAJ33" s="713"/>
      <c r="FAK33" s="713"/>
      <c r="FAL33" s="713"/>
      <c r="FAM33" s="713"/>
      <c r="FAN33" s="713"/>
      <c r="FAO33" s="713"/>
      <c r="FAP33" s="713"/>
      <c r="FAQ33" s="713"/>
      <c r="FAR33" s="713"/>
      <c r="FAS33" s="713"/>
      <c r="FAT33" s="713"/>
      <c r="FAU33" s="713"/>
      <c r="FAV33" s="713"/>
      <c r="FAW33" s="713"/>
      <c r="FAX33" s="713"/>
      <c r="FAY33" s="713"/>
      <c r="FAZ33" s="713"/>
      <c r="FBA33" s="713"/>
      <c r="FBB33" s="713"/>
      <c r="FBC33" s="713"/>
      <c r="FBD33" s="713"/>
      <c r="FBE33" s="713"/>
      <c r="FBF33" s="713"/>
      <c r="FBG33" s="713"/>
      <c r="FBH33" s="713"/>
      <c r="FBI33" s="713"/>
      <c r="FBJ33" s="713"/>
      <c r="FBK33" s="713"/>
      <c r="FBL33" s="713"/>
      <c r="FBM33" s="713"/>
      <c r="FBN33" s="713"/>
      <c r="FBO33" s="713"/>
      <c r="FBP33" s="713"/>
      <c r="FBQ33" s="713"/>
      <c r="FBR33" s="713"/>
      <c r="FBS33" s="713"/>
      <c r="FBT33" s="713"/>
      <c r="FBU33" s="713"/>
      <c r="FBV33" s="713"/>
      <c r="FBW33" s="713"/>
      <c r="FBX33" s="713"/>
      <c r="FBY33" s="713"/>
      <c r="FBZ33" s="713"/>
      <c r="FCA33" s="713"/>
      <c r="FCB33" s="713"/>
      <c r="FCC33" s="713"/>
      <c r="FCD33" s="713"/>
      <c r="FCE33" s="713"/>
      <c r="FCF33" s="713"/>
      <c r="FCG33" s="713"/>
      <c r="FCH33" s="713"/>
      <c r="FCI33" s="713"/>
      <c r="FCJ33" s="713"/>
      <c r="FCK33" s="713"/>
      <c r="FCL33" s="713"/>
      <c r="FCM33" s="713"/>
      <c r="FCN33" s="713"/>
      <c r="FCO33" s="713"/>
      <c r="FCP33" s="713"/>
      <c r="FCQ33" s="713"/>
      <c r="FCR33" s="713"/>
      <c r="FCS33" s="713"/>
      <c r="FCT33" s="713"/>
      <c r="FCU33" s="713"/>
      <c r="FCV33" s="713"/>
      <c r="FCW33" s="713"/>
      <c r="FCX33" s="713"/>
      <c r="FCY33" s="713"/>
      <c r="FCZ33" s="713"/>
      <c r="FDA33" s="713"/>
      <c r="FDB33" s="713"/>
      <c r="FDC33" s="713"/>
      <c r="FDD33" s="713"/>
      <c r="FDE33" s="713"/>
      <c r="FDF33" s="713"/>
      <c r="FDG33" s="713"/>
      <c r="FDH33" s="713"/>
      <c r="FDI33" s="713"/>
      <c r="FDJ33" s="713"/>
      <c r="FDK33" s="713"/>
      <c r="FDL33" s="713"/>
      <c r="FDM33" s="713"/>
      <c r="FDN33" s="713"/>
      <c r="FDO33" s="713"/>
      <c r="FDP33" s="713"/>
      <c r="FDQ33" s="713"/>
      <c r="FDR33" s="713"/>
      <c r="FDS33" s="713"/>
      <c r="FDT33" s="713"/>
      <c r="FDU33" s="713"/>
      <c r="FDV33" s="713"/>
      <c r="FDW33" s="713"/>
      <c r="FDX33" s="713"/>
      <c r="FDY33" s="713"/>
      <c r="FDZ33" s="713"/>
      <c r="FEA33" s="713"/>
      <c r="FEB33" s="713"/>
      <c r="FEC33" s="713"/>
      <c r="FED33" s="713"/>
      <c r="FEE33" s="713"/>
      <c r="FEF33" s="713"/>
      <c r="FEG33" s="713"/>
      <c r="FEH33" s="713"/>
      <c r="FEI33" s="713"/>
      <c r="FEJ33" s="713"/>
      <c r="FEK33" s="713"/>
      <c r="FEL33" s="713"/>
      <c r="FEM33" s="713"/>
      <c r="FEN33" s="713"/>
      <c r="FEO33" s="713"/>
      <c r="FEP33" s="713"/>
      <c r="FEQ33" s="713"/>
      <c r="FER33" s="713"/>
      <c r="FES33" s="713"/>
      <c r="FET33" s="713"/>
      <c r="FEU33" s="713"/>
      <c r="FEV33" s="713"/>
      <c r="FEW33" s="713"/>
      <c r="FEX33" s="713"/>
      <c r="FEY33" s="713"/>
      <c r="FEZ33" s="713"/>
      <c r="FFA33" s="713"/>
      <c r="FFB33" s="713"/>
      <c r="FFC33" s="713"/>
      <c r="FFD33" s="713"/>
      <c r="FFE33" s="713"/>
      <c r="FFF33" s="713"/>
      <c r="FFG33" s="713"/>
      <c r="FFH33" s="713"/>
      <c r="FFI33" s="713"/>
      <c r="FFJ33" s="713"/>
      <c r="FFK33" s="713"/>
      <c r="FFL33" s="713"/>
      <c r="FFM33" s="713"/>
      <c r="FFN33" s="713"/>
      <c r="FFO33" s="713"/>
      <c r="FFP33" s="713"/>
      <c r="FFQ33" s="713"/>
      <c r="FFR33" s="713"/>
      <c r="FFS33" s="713"/>
      <c r="FFT33" s="713"/>
      <c r="FFU33" s="713"/>
      <c r="FFV33" s="713"/>
      <c r="FFW33" s="713"/>
      <c r="FFX33" s="713"/>
      <c r="FFY33" s="713"/>
      <c r="FFZ33" s="713"/>
      <c r="FGA33" s="713"/>
      <c r="FGB33" s="713"/>
      <c r="FGC33" s="713"/>
      <c r="FGD33" s="713"/>
      <c r="FGE33" s="713"/>
      <c r="FGF33" s="713"/>
      <c r="FGG33" s="713"/>
      <c r="FGH33" s="713"/>
      <c r="FGI33" s="713"/>
      <c r="FGJ33" s="713"/>
      <c r="FGK33" s="713"/>
      <c r="FGL33" s="713"/>
      <c r="FGM33" s="713"/>
      <c r="FGN33" s="713"/>
      <c r="FGO33" s="713"/>
      <c r="FGP33" s="713"/>
      <c r="FGQ33" s="713"/>
      <c r="FGR33" s="713"/>
      <c r="FGS33" s="713"/>
      <c r="FGT33" s="713"/>
      <c r="FGU33" s="713"/>
      <c r="FGV33" s="713"/>
      <c r="FGW33" s="713"/>
      <c r="FGX33" s="713"/>
      <c r="FGY33" s="713"/>
      <c r="FGZ33" s="713"/>
      <c r="FHA33" s="713"/>
      <c r="FHB33" s="713"/>
      <c r="FHC33" s="713"/>
      <c r="FHD33" s="713"/>
      <c r="FHE33" s="713"/>
      <c r="FHF33" s="713"/>
      <c r="FHG33" s="713"/>
      <c r="FHH33" s="713"/>
      <c r="FHI33" s="713"/>
      <c r="FHJ33" s="713"/>
      <c r="FHK33" s="713"/>
      <c r="FHL33" s="713"/>
      <c r="FHM33" s="713"/>
      <c r="FHN33" s="713"/>
      <c r="FHO33" s="713"/>
      <c r="FHP33" s="713"/>
      <c r="FHQ33" s="713"/>
      <c r="FHR33" s="713"/>
      <c r="FHS33" s="713"/>
      <c r="FHT33" s="713"/>
      <c r="FHU33" s="713"/>
      <c r="FHV33" s="713"/>
      <c r="FHW33" s="713"/>
      <c r="FHX33" s="713"/>
      <c r="FHY33" s="713"/>
      <c r="FHZ33" s="713"/>
      <c r="FIA33" s="713"/>
      <c r="FIB33" s="713"/>
      <c r="FIC33" s="713"/>
      <c r="FID33" s="713"/>
      <c r="FIE33" s="713"/>
      <c r="FIF33" s="713"/>
      <c r="FIG33" s="713"/>
      <c r="FIH33" s="713"/>
      <c r="FII33" s="713"/>
      <c r="FIJ33" s="713"/>
      <c r="FIK33" s="713"/>
      <c r="FIL33" s="713"/>
      <c r="FIM33" s="713"/>
      <c r="FIN33" s="713"/>
      <c r="FIO33" s="713"/>
      <c r="FIP33" s="713"/>
      <c r="FIQ33" s="713"/>
      <c r="FIR33" s="713"/>
      <c r="FIS33" s="713"/>
      <c r="FIT33" s="713"/>
      <c r="FIU33" s="713"/>
      <c r="FIV33" s="713"/>
      <c r="FIW33" s="713"/>
      <c r="FIX33" s="713"/>
      <c r="FIY33" s="713"/>
      <c r="FIZ33" s="713"/>
      <c r="FJA33" s="713"/>
      <c r="FJB33" s="713"/>
      <c r="FJC33" s="713"/>
      <c r="FJD33" s="713"/>
      <c r="FJE33" s="713"/>
      <c r="FJF33" s="713"/>
      <c r="FJG33" s="713"/>
      <c r="FJH33" s="713"/>
      <c r="FJI33" s="713"/>
      <c r="FJJ33" s="713"/>
      <c r="FJK33" s="713"/>
      <c r="FJL33" s="713"/>
      <c r="FJM33" s="713"/>
      <c r="FJN33" s="713"/>
      <c r="FJO33" s="713"/>
      <c r="FJP33" s="713"/>
      <c r="FJQ33" s="713"/>
      <c r="FJR33" s="713"/>
      <c r="FJS33" s="713"/>
      <c r="FJT33" s="713"/>
      <c r="FJU33" s="713"/>
      <c r="FJV33" s="713"/>
      <c r="FJW33" s="713"/>
      <c r="FJX33" s="713"/>
      <c r="FJY33" s="713"/>
      <c r="FJZ33" s="713"/>
      <c r="FKA33" s="713"/>
      <c r="FKB33" s="713"/>
      <c r="FKC33" s="713"/>
      <c r="FKD33" s="713"/>
      <c r="FKE33" s="713"/>
      <c r="FKF33" s="713"/>
      <c r="FKG33" s="713"/>
      <c r="FKH33" s="713"/>
      <c r="FKI33" s="713"/>
      <c r="FKJ33" s="713"/>
      <c r="FKK33" s="713"/>
      <c r="FKL33" s="713"/>
      <c r="FKM33" s="713"/>
      <c r="FKN33" s="713"/>
      <c r="FKO33" s="713"/>
      <c r="FKP33" s="713"/>
      <c r="FKQ33" s="713"/>
      <c r="FKR33" s="713"/>
      <c r="FKS33" s="713"/>
      <c r="FKT33" s="713"/>
      <c r="FKU33" s="713"/>
      <c r="FKV33" s="713"/>
      <c r="FKW33" s="713"/>
      <c r="FKX33" s="713"/>
      <c r="FKY33" s="713"/>
      <c r="FKZ33" s="713"/>
      <c r="FLA33" s="713"/>
      <c r="FLB33" s="713"/>
      <c r="FLC33" s="713"/>
      <c r="FLD33" s="713"/>
      <c r="FLE33" s="713"/>
      <c r="FLF33" s="713"/>
      <c r="FLG33" s="713"/>
      <c r="FLH33" s="713"/>
      <c r="FLI33" s="713"/>
      <c r="FLJ33" s="713"/>
      <c r="FLK33" s="713"/>
      <c r="FLL33" s="713"/>
      <c r="FLM33" s="713"/>
      <c r="FLN33" s="713"/>
      <c r="FLO33" s="713"/>
      <c r="FLP33" s="713"/>
      <c r="FLQ33" s="713"/>
      <c r="FLR33" s="713"/>
      <c r="FLS33" s="713"/>
      <c r="FLT33" s="713"/>
      <c r="FLU33" s="713"/>
      <c r="FLV33" s="713"/>
      <c r="FLW33" s="713"/>
      <c r="FLX33" s="713"/>
      <c r="FLY33" s="713"/>
      <c r="FLZ33" s="713"/>
      <c r="FMA33" s="713"/>
      <c r="FMB33" s="713"/>
      <c r="FMC33" s="713"/>
      <c r="FMD33" s="713"/>
      <c r="FME33" s="713"/>
      <c r="FMF33" s="713"/>
      <c r="FMG33" s="713"/>
      <c r="FMH33" s="713"/>
      <c r="FMI33" s="713"/>
      <c r="FMJ33" s="713"/>
      <c r="FMK33" s="713"/>
      <c r="FML33" s="713"/>
      <c r="FMM33" s="713"/>
      <c r="FMN33" s="713"/>
      <c r="FMO33" s="713"/>
      <c r="FMP33" s="713"/>
      <c r="FMQ33" s="713"/>
      <c r="FMR33" s="713"/>
      <c r="FMS33" s="713"/>
      <c r="FMT33" s="713"/>
      <c r="FMU33" s="713"/>
      <c r="FMV33" s="713"/>
      <c r="FMW33" s="713"/>
      <c r="FMX33" s="713"/>
      <c r="FMY33" s="713"/>
      <c r="FMZ33" s="713"/>
      <c r="FNA33" s="713"/>
      <c r="FNB33" s="713"/>
      <c r="FNC33" s="713"/>
      <c r="FND33" s="713"/>
      <c r="FNE33" s="713"/>
      <c r="FNF33" s="713"/>
      <c r="FNG33" s="713"/>
      <c r="FNH33" s="713"/>
      <c r="FNI33" s="713"/>
      <c r="FNJ33" s="713"/>
      <c r="FNK33" s="713"/>
      <c r="FNL33" s="713"/>
      <c r="FNM33" s="713"/>
      <c r="FNN33" s="713"/>
      <c r="FNO33" s="713"/>
      <c r="FNP33" s="713"/>
      <c r="FNQ33" s="713"/>
      <c r="FNR33" s="713"/>
      <c r="FNS33" s="713"/>
      <c r="FNT33" s="713"/>
      <c r="FNU33" s="713"/>
      <c r="FNV33" s="713"/>
      <c r="FNW33" s="713"/>
      <c r="FNX33" s="713"/>
      <c r="FNY33" s="713"/>
      <c r="FNZ33" s="713"/>
      <c r="FOA33" s="713"/>
      <c r="FOB33" s="713"/>
      <c r="FOC33" s="713"/>
      <c r="FOD33" s="713"/>
      <c r="FOE33" s="713"/>
      <c r="FOF33" s="713"/>
      <c r="FOG33" s="713"/>
      <c r="FOH33" s="713"/>
      <c r="FOI33" s="713"/>
      <c r="FOJ33" s="713"/>
      <c r="FOK33" s="713"/>
      <c r="FOL33" s="713"/>
      <c r="FOM33" s="713"/>
      <c r="FON33" s="713"/>
      <c r="FOO33" s="713"/>
      <c r="FOP33" s="713"/>
      <c r="FOQ33" s="713"/>
      <c r="FOR33" s="713"/>
      <c r="FOS33" s="713"/>
      <c r="FOT33" s="713"/>
      <c r="FOU33" s="713"/>
      <c r="FOV33" s="713"/>
      <c r="FOW33" s="713"/>
      <c r="FOX33" s="713"/>
      <c r="FOY33" s="713"/>
      <c r="FOZ33" s="713"/>
      <c r="FPA33" s="713"/>
      <c r="FPB33" s="713"/>
      <c r="FPC33" s="713"/>
      <c r="FPD33" s="713"/>
      <c r="FPE33" s="713"/>
      <c r="FPF33" s="713"/>
      <c r="FPG33" s="713"/>
      <c r="FPH33" s="713"/>
      <c r="FPI33" s="713"/>
      <c r="FPJ33" s="713"/>
      <c r="FPK33" s="713"/>
      <c r="FPL33" s="713"/>
      <c r="FPM33" s="713"/>
      <c r="FPN33" s="713"/>
      <c r="FPO33" s="713"/>
      <c r="FPP33" s="713"/>
      <c r="FPQ33" s="713"/>
      <c r="FPR33" s="713"/>
      <c r="FPS33" s="713"/>
      <c r="FPT33" s="713"/>
      <c r="FPU33" s="713"/>
      <c r="FPV33" s="713"/>
      <c r="FPW33" s="713"/>
      <c r="FPX33" s="713"/>
      <c r="FPY33" s="713"/>
      <c r="FPZ33" s="713"/>
      <c r="FQA33" s="713"/>
      <c r="FQB33" s="713"/>
      <c r="FQC33" s="713"/>
      <c r="FQD33" s="713"/>
      <c r="FQE33" s="713"/>
      <c r="FQF33" s="713"/>
      <c r="FQG33" s="713"/>
      <c r="FQH33" s="713"/>
      <c r="FQI33" s="713"/>
      <c r="FQJ33" s="713"/>
      <c r="FQK33" s="713"/>
      <c r="FQL33" s="713"/>
      <c r="FQM33" s="713"/>
      <c r="FQN33" s="713"/>
      <c r="FQO33" s="713"/>
      <c r="FQP33" s="713"/>
      <c r="FQQ33" s="713"/>
      <c r="FQR33" s="713"/>
      <c r="FQS33" s="713"/>
      <c r="FQT33" s="713"/>
      <c r="FQU33" s="713"/>
      <c r="FQV33" s="713"/>
      <c r="FQW33" s="713"/>
      <c r="FQX33" s="713"/>
      <c r="FQY33" s="713"/>
      <c r="FQZ33" s="713"/>
      <c r="FRA33" s="713"/>
      <c r="FRB33" s="713"/>
      <c r="FRC33" s="713"/>
      <c r="FRD33" s="713"/>
      <c r="FRE33" s="713"/>
      <c r="FRF33" s="713"/>
      <c r="FRG33" s="713"/>
      <c r="FRH33" s="713"/>
      <c r="FRI33" s="713"/>
      <c r="FRJ33" s="713"/>
      <c r="FRK33" s="713"/>
      <c r="FRL33" s="713"/>
      <c r="FRM33" s="713"/>
      <c r="FRN33" s="713"/>
      <c r="FRO33" s="713"/>
      <c r="FRP33" s="713"/>
      <c r="FRQ33" s="713"/>
      <c r="FRR33" s="713"/>
      <c r="FRS33" s="713"/>
      <c r="FRT33" s="713"/>
      <c r="FRU33" s="713"/>
      <c r="FRV33" s="713"/>
      <c r="FRW33" s="713"/>
      <c r="FRX33" s="713"/>
      <c r="FRY33" s="713"/>
      <c r="FRZ33" s="713"/>
      <c r="FSA33" s="713"/>
      <c r="FSB33" s="713"/>
      <c r="FSC33" s="713"/>
      <c r="FSD33" s="713"/>
      <c r="FSE33" s="713"/>
      <c r="FSF33" s="713"/>
      <c r="FSG33" s="713"/>
      <c r="FSH33" s="713"/>
      <c r="FSI33" s="713"/>
      <c r="FSJ33" s="713"/>
      <c r="FSK33" s="713"/>
      <c r="FSL33" s="713"/>
      <c r="FSM33" s="713"/>
      <c r="FSN33" s="713"/>
      <c r="FSO33" s="713"/>
      <c r="FSP33" s="713"/>
      <c r="FSQ33" s="713"/>
      <c r="FSR33" s="713"/>
      <c r="FSS33" s="713"/>
      <c r="FST33" s="713"/>
      <c r="FSU33" s="713"/>
      <c r="FSV33" s="713"/>
      <c r="FSW33" s="713"/>
      <c r="FSX33" s="713"/>
      <c r="FSY33" s="713"/>
      <c r="FSZ33" s="713"/>
      <c r="FTA33" s="713"/>
      <c r="FTB33" s="713"/>
      <c r="FTC33" s="713"/>
      <c r="FTD33" s="713"/>
      <c r="FTE33" s="713"/>
      <c r="FTF33" s="713"/>
      <c r="FTG33" s="713"/>
      <c r="FTH33" s="713"/>
      <c r="FTI33" s="713"/>
      <c r="FTJ33" s="713"/>
      <c r="FTK33" s="713"/>
      <c r="FTL33" s="713"/>
      <c r="FTM33" s="713"/>
      <c r="FTN33" s="713"/>
      <c r="FTO33" s="713"/>
      <c r="FTP33" s="713"/>
      <c r="FTQ33" s="713"/>
      <c r="FTR33" s="713"/>
      <c r="FTS33" s="713"/>
      <c r="FTT33" s="713"/>
      <c r="FTU33" s="713"/>
      <c r="FTV33" s="713"/>
      <c r="FTW33" s="713"/>
      <c r="FTX33" s="713"/>
      <c r="FTY33" s="713"/>
      <c r="FTZ33" s="713"/>
      <c r="FUA33" s="713"/>
      <c r="FUB33" s="713"/>
      <c r="FUC33" s="713"/>
      <c r="FUD33" s="713"/>
      <c r="FUE33" s="713"/>
      <c r="FUF33" s="713"/>
      <c r="FUG33" s="713"/>
      <c r="FUH33" s="713"/>
      <c r="FUI33" s="713"/>
      <c r="FUJ33" s="713"/>
      <c r="FUK33" s="713"/>
      <c r="FUL33" s="713"/>
      <c r="FUM33" s="713"/>
      <c r="FUN33" s="713"/>
      <c r="FUO33" s="713"/>
      <c r="FUP33" s="713"/>
      <c r="FUQ33" s="713"/>
      <c r="FUR33" s="713"/>
      <c r="FUS33" s="713"/>
      <c r="FUT33" s="713"/>
      <c r="FUU33" s="713"/>
      <c r="FUV33" s="713"/>
      <c r="FUW33" s="713"/>
      <c r="FUX33" s="713"/>
      <c r="FUY33" s="713"/>
      <c r="FUZ33" s="713"/>
      <c r="FVA33" s="713"/>
      <c r="FVB33" s="713"/>
      <c r="FVC33" s="713"/>
      <c r="FVD33" s="713"/>
      <c r="FVE33" s="713"/>
      <c r="FVF33" s="713"/>
      <c r="FVG33" s="713"/>
      <c r="FVH33" s="713"/>
      <c r="FVI33" s="713"/>
      <c r="FVJ33" s="713"/>
      <c r="FVK33" s="713"/>
      <c r="FVL33" s="713"/>
      <c r="FVM33" s="713"/>
      <c r="FVN33" s="713"/>
      <c r="FVO33" s="713"/>
      <c r="FVP33" s="713"/>
      <c r="FVQ33" s="713"/>
      <c r="FVR33" s="713"/>
      <c r="FVS33" s="713"/>
      <c r="FVT33" s="713"/>
      <c r="FVU33" s="713"/>
      <c r="FVV33" s="713"/>
      <c r="FVW33" s="713"/>
      <c r="FVX33" s="713"/>
      <c r="FVY33" s="713"/>
      <c r="FVZ33" s="713"/>
      <c r="FWA33" s="713"/>
      <c r="FWB33" s="713"/>
      <c r="FWC33" s="713"/>
      <c r="FWD33" s="713"/>
      <c r="FWE33" s="713"/>
      <c r="FWF33" s="713"/>
      <c r="FWG33" s="713"/>
      <c r="FWH33" s="713"/>
      <c r="FWI33" s="713"/>
      <c r="FWJ33" s="713"/>
      <c r="FWK33" s="713"/>
      <c r="FWL33" s="713"/>
      <c r="FWM33" s="713"/>
      <c r="FWN33" s="713"/>
      <c r="FWO33" s="713"/>
      <c r="FWP33" s="713"/>
      <c r="FWQ33" s="713"/>
      <c r="FWR33" s="713"/>
      <c r="FWS33" s="713"/>
      <c r="FWT33" s="713"/>
      <c r="FWU33" s="713"/>
      <c r="FWV33" s="713"/>
      <c r="FWW33" s="713"/>
      <c r="FWX33" s="713"/>
      <c r="FWY33" s="713"/>
      <c r="FWZ33" s="713"/>
      <c r="FXA33" s="713"/>
      <c r="FXB33" s="713"/>
      <c r="FXC33" s="713"/>
      <c r="FXD33" s="713"/>
      <c r="FXE33" s="713"/>
      <c r="FXF33" s="713"/>
      <c r="FXG33" s="713"/>
      <c r="FXH33" s="713"/>
      <c r="FXI33" s="713"/>
      <c r="FXJ33" s="713"/>
      <c r="FXK33" s="713"/>
      <c r="FXL33" s="713"/>
      <c r="FXM33" s="713"/>
      <c r="FXN33" s="713"/>
      <c r="FXO33" s="713"/>
      <c r="FXP33" s="713"/>
      <c r="FXQ33" s="713"/>
      <c r="FXR33" s="713"/>
      <c r="FXS33" s="713"/>
      <c r="FXT33" s="713"/>
      <c r="FXU33" s="713"/>
      <c r="FXV33" s="713"/>
      <c r="FXW33" s="713"/>
      <c r="FXX33" s="713"/>
      <c r="FXY33" s="713"/>
      <c r="FXZ33" s="713"/>
      <c r="FYA33" s="713"/>
      <c r="FYB33" s="713"/>
      <c r="FYC33" s="713"/>
      <c r="FYD33" s="713"/>
      <c r="FYE33" s="713"/>
      <c r="FYF33" s="713"/>
      <c r="FYG33" s="713"/>
      <c r="FYH33" s="713"/>
      <c r="FYI33" s="713"/>
      <c r="FYJ33" s="713"/>
      <c r="FYK33" s="713"/>
      <c r="FYL33" s="713"/>
      <c r="FYM33" s="713"/>
      <c r="FYN33" s="713"/>
      <c r="FYO33" s="713"/>
      <c r="FYP33" s="713"/>
      <c r="FYQ33" s="713"/>
      <c r="FYR33" s="713"/>
      <c r="FYS33" s="713"/>
      <c r="FYT33" s="713"/>
      <c r="FYU33" s="713"/>
      <c r="FYV33" s="713"/>
      <c r="FYW33" s="713"/>
      <c r="FYX33" s="713"/>
      <c r="FYY33" s="713"/>
      <c r="FYZ33" s="713"/>
      <c r="FZA33" s="713"/>
      <c r="FZB33" s="713"/>
      <c r="FZC33" s="713"/>
      <c r="FZD33" s="713"/>
      <c r="FZE33" s="713"/>
      <c r="FZF33" s="713"/>
      <c r="FZG33" s="713"/>
      <c r="FZH33" s="713"/>
      <c r="FZI33" s="713"/>
      <c r="FZJ33" s="713"/>
      <c r="FZK33" s="713"/>
      <c r="FZL33" s="713"/>
      <c r="FZM33" s="713"/>
      <c r="FZN33" s="713"/>
      <c r="FZO33" s="713"/>
      <c r="FZP33" s="713"/>
      <c r="FZQ33" s="713"/>
      <c r="FZR33" s="713"/>
      <c r="FZS33" s="713"/>
      <c r="FZT33" s="713"/>
      <c r="FZU33" s="713"/>
      <c r="FZV33" s="713"/>
      <c r="FZW33" s="713"/>
      <c r="FZX33" s="713"/>
      <c r="FZY33" s="713"/>
      <c r="FZZ33" s="713"/>
      <c r="GAA33" s="713"/>
      <c r="GAB33" s="713"/>
      <c r="GAC33" s="713"/>
      <c r="GAD33" s="713"/>
      <c r="GAE33" s="713"/>
      <c r="GAF33" s="713"/>
      <c r="GAG33" s="713"/>
      <c r="GAH33" s="713"/>
      <c r="GAI33" s="713"/>
      <c r="GAJ33" s="713"/>
      <c r="GAK33" s="713"/>
      <c r="GAL33" s="713"/>
      <c r="GAM33" s="713"/>
      <c r="GAN33" s="713"/>
      <c r="GAO33" s="713"/>
      <c r="GAP33" s="713"/>
      <c r="GAQ33" s="713"/>
      <c r="GAR33" s="713"/>
      <c r="GAS33" s="713"/>
      <c r="GAT33" s="713"/>
      <c r="GAU33" s="713"/>
      <c r="GAV33" s="713"/>
      <c r="GAW33" s="713"/>
      <c r="GAX33" s="713"/>
      <c r="GAY33" s="713"/>
      <c r="GAZ33" s="713"/>
      <c r="GBA33" s="713"/>
      <c r="GBB33" s="713"/>
      <c r="GBC33" s="713"/>
      <c r="GBD33" s="713"/>
      <c r="GBE33" s="713"/>
      <c r="GBF33" s="713"/>
      <c r="GBG33" s="713"/>
      <c r="GBH33" s="713"/>
      <c r="GBI33" s="713"/>
      <c r="GBJ33" s="713"/>
      <c r="GBK33" s="713"/>
      <c r="GBL33" s="713"/>
      <c r="GBM33" s="713"/>
      <c r="GBN33" s="713"/>
      <c r="GBO33" s="713"/>
      <c r="GBP33" s="713"/>
      <c r="GBQ33" s="713"/>
      <c r="GBR33" s="713"/>
      <c r="GBS33" s="713"/>
      <c r="GBT33" s="713"/>
      <c r="GBU33" s="713"/>
      <c r="GBV33" s="713"/>
      <c r="GBW33" s="713"/>
      <c r="GBX33" s="713"/>
      <c r="GBY33" s="713"/>
      <c r="GBZ33" s="713"/>
      <c r="GCA33" s="713"/>
      <c r="GCB33" s="713"/>
      <c r="GCC33" s="713"/>
      <c r="GCD33" s="713"/>
      <c r="GCE33" s="713"/>
      <c r="GCF33" s="713"/>
      <c r="GCG33" s="713"/>
      <c r="GCH33" s="713"/>
      <c r="GCI33" s="713"/>
      <c r="GCJ33" s="713"/>
      <c r="GCK33" s="713"/>
      <c r="GCL33" s="713"/>
      <c r="GCM33" s="713"/>
      <c r="GCN33" s="713"/>
      <c r="GCO33" s="713"/>
      <c r="GCP33" s="713"/>
      <c r="GCQ33" s="713"/>
      <c r="GCR33" s="713"/>
      <c r="GCS33" s="713"/>
      <c r="GCT33" s="713"/>
      <c r="GCU33" s="713"/>
      <c r="GCV33" s="713"/>
      <c r="GCW33" s="713"/>
      <c r="GCX33" s="713"/>
      <c r="GCY33" s="713"/>
      <c r="GCZ33" s="713"/>
      <c r="GDA33" s="713"/>
      <c r="GDB33" s="713"/>
      <c r="GDC33" s="713"/>
      <c r="GDD33" s="713"/>
      <c r="GDE33" s="713"/>
      <c r="GDF33" s="713"/>
      <c r="GDG33" s="713"/>
      <c r="GDH33" s="713"/>
      <c r="GDI33" s="713"/>
      <c r="GDJ33" s="713"/>
      <c r="GDK33" s="713"/>
      <c r="GDL33" s="713"/>
      <c r="GDM33" s="713"/>
      <c r="GDN33" s="713"/>
      <c r="GDO33" s="713"/>
      <c r="GDP33" s="713"/>
      <c r="GDQ33" s="713"/>
      <c r="GDR33" s="713"/>
      <c r="GDS33" s="713"/>
      <c r="GDT33" s="713"/>
      <c r="GDU33" s="713"/>
      <c r="GDV33" s="713"/>
      <c r="GDW33" s="713"/>
      <c r="GDX33" s="713"/>
      <c r="GDY33" s="713"/>
      <c r="GDZ33" s="713"/>
      <c r="GEA33" s="713"/>
      <c r="GEB33" s="713"/>
      <c r="GEC33" s="713"/>
      <c r="GED33" s="713"/>
      <c r="GEE33" s="713"/>
      <c r="GEF33" s="713"/>
      <c r="GEG33" s="713"/>
      <c r="GEH33" s="713"/>
      <c r="GEI33" s="713"/>
      <c r="GEJ33" s="713"/>
      <c r="GEK33" s="713"/>
      <c r="GEL33" s="713"/>
      <c r="GEM33" s="713"/>
      <c r="GEN33" s="713"/>
      <c r="GEO33" s="713"/>
      <c r="GEP33" s="713"/>
      <c r="GEQ33" s="713"/>
      <c r="GER33" s="713"/>
      <c r="GES33" s="713"/>
      <c r="GET33" s="713"/>
      <c r="GEU33" s="713"/>
      <c r="GEV33" s="713"/>
      <c r="GEW33" s="713"/>
      <c r="GEX33" s="713"/>
      <c r="GEY33" s="713"/>
      <c r="GEZ33" s="713"/>
      <c r="GFA33" s="713"/>
      <c r="GFB33" s="713"/>
      <c r="GFC33" s="713"/>
      <c r="GFD33" s="713"/>
      <c r="GFE33" s="713"/>
      <c r="GFF33" s="713"/>
      <c r="GFG33" s="713"/>
      <c r="GFH33" s="713"/>
      <c r="GFI33" s="713"/>
      <c r="GFJ33" s="713"/>
      <c r="GFK33" s="713"/>
      <c r="GFL33" s="713"/>
      <c r="GFM33" s="713"/>
      <c r="GFN33" s="713"/>
      <c r="GFO33" s="713"/>
      <c r="GFP33" s="713"/>
      <c r="GFQ33" s="713"/>
      <c r="GFR33" s="713"/>
      <c r="GFS33" s="713"/>
      <c r="GFT33" s="713"/>
      <c r="GFU33" s="713"/>
      <c r="GFV33" s="713"/>
      <c r="GFW33" s="713"/>
      <c r="GFX33" s="713"/>
      <c r="GFY33" s="713"/>
      <c r="GFZ33" s="713"/>
      <c r="GGA33" s="713"/>
      <c r="GGB33" s="713"/>
      <c r="GGC33" s="713"/>
      <c r="GGD33" s="713"/>
      <c r="GGE33" s="713"/>
      <c r="GGF33" s="713"/>
      <c r="GGG33" s="713"/>
      <c r="GGH33" s="713"/>
      <c r="GGI33" s="713"/>
      <c r="GGJ33" s="713"/>
      <c r="GGK33" s="713"/>
      <c r="GGL33" s="713"/>
      <c r="GGM33" s="713"/>
      <c r="GGN33" s="713"/>
      <c r="GGO33" s="713"/>
      <c r="GGP33" s="713"/>
      <c r="GGQ33" s="713"/>
      <c r="GGR33" s="713"/>
      <c r="GGS33" s="713"/>
      <c r="GGT33" s="713"/>
      <c r="GGU33" s="713"/>
      <c r="GGV33" s="713"/>
      <c r="GGW33" s="713"/>
      <c r="GGX33" s="713"/>
      <c r="GGY33" s="713"/>
      <c r="GGZ33" s="713"/>
      <c r="GHA33" s="713"/>
      <c r="GHB33" s="713"/>
      <c r="GHC33" s="713"/>
      <c r="GHD33" s="713"/>
      <c r="GHE33" s="713"/>
      <c r="GHF33" s="713"/>
      <c r="GHG33" s="713"/>
      <c r="GHH33" s="713"/>
      <c r="GHI33" s="713"/>
      <c r="GHJ33" s="713"/>
      <c r="GHK33" s="713"/>
      <c r="GHL33" s="713"/>
      <c r="GHM33" s="713"/>
      <c r="GHN33" s="713"/>
      <c r="GHO33" s="713"/>
      <c r="GHP33" s="713"/>
      <c r="GHQ33" s="713"/>
      <c r="GHR33" s="713"/>
      <c r="GHS33" s="713"/>
      <c r="GHT33" s="713"/>
      <c r="GHU33" s="713"/>
      <c r="GHV33" s="713"/>
      <c r="GHW33" s="713"/>
      <c r="GHX33" s="713"/>
      <c r="GHY33" s="713"/>
      <c r="GHZ33" s="713"/>
      <c r="GIA33" s="713"/>
      <c r="GIB33" s="713"/>
      <c r="GIC33" s="713"/>
      <c r="GID33" s="713"/>
      <c r="GIE33" s="713"/>
      <c r="GIF33" s="713"/>
      <c r="GIG33" s="713"/>
      <c r="GIH33" s="713"/>
      <c r="GII33" s="713"/>
      <c r="GIJ33" s="713"/>
      <c r="GIK33" s="713"/>
      <c r="GIL33" s="713"/>
      <c r="GIM33" s="713"/>
      <c r="GIN33" s="713"/>
      <c r="GIO33" s="713"/>
      <c r="GIP33" s="713"/>
      <c r="GIQ33" s="713"/>
      <c r="GIR33" s="713"/>
      <c r="GIS33" s="713"/>
      <c r="GIT33" s="713"/>
      <c r="GIU33" s="713"/>
      <c r="GIV33" s="713"/>
      <c r="GIW33" s="713"/>
      <c r="GIX33" s="713"/>
      <c r="GIY33" s="713"/>
      <c r="GIZ33" s="713"/>
      <c r="GJA33" s="713"/>
      <c r="GJB33" s="713"/>
      <c r="GJC33" s="713"/>
      <c r="GJD33" s="713"/>
      <c r="GJE33" s="713"/>
      <c r="GJF33" s="713"/>
      <c r="GJG33" s="713"/>
      <c r="GJH33" s="713"/>
      <c r="GJI33" s="713"/>
      <c r="GJJ33" s="713"/>
      <c r="GJK33" s="713"/>
      <c r="GJL33" s="713"/>
      <c r="GJM33" s="713"/>
      <c r="GJN33" s="713"/>
      <c r="GJO33" s="713"/>
      <c r="GJP33" s="713"/>
      <c r="GJQ33" s="713"/>
      <c r="GJR33" s="713"/>
      <c r="GJS33" s="713"/>
      <c r="GJT33" s="713"/>
      <c r="GJU33" s="713"/>
      <c r="GJV33" s="713"/>
      <c r="GJW33" s="713"/>
      <c r="GJX33" s="713"/>
      <c r="GJY33" s="713"/>
      <c r="GJZ33" s="713"/>
      <c r="GKA33" s="713"/>
      <c r="GKB33" s="713"/>
      <c r="GKC33" s="713"/>
      <c r="GKD33" s="713"/>
      <c r="GKE33" s="713"/>
      <c r="GKF33" s="713"/>
      <c r="GKG33" s="713"/>
      <c r="GKH33" s="713"/>
      <c r="GKI33" s="713"/>
      <c r="GKJ33" s="713"/>
      <c r="GKK33" s="713"/>
      <c r="GKL33" s="713"/>
      <c r="GKM33" s="713"/>
      <c r="GKN33" s="713"/>
      <c r="GKO33" s="713"/>
      <c r="GKP33" s="713"/>
      <c r="GKQ33" s="713"/>
      <c r="GKR33" s="713"/>
      <c r="GKS33" s="713"/>
      <c r="GKT33" s="713"/>
      <c r="GKU33" s="713"/>
      <c r="GKV33" s="713"/>
      <c r="GKW33" s="713"/>
      <c r="GKX33" s="713"/>
      <c r="GKY33" s="713"/>
      <c r="GKZ33" s="713"/>
      <c r="GLA33" s="713"/>
      <c r="GLB33" s="713"/>
      <c r="GLC33" s="713"/>
      <c r="GLD33" s="713"/>
      <c r="GLE33" s="713"/>
      <c r="GLF33" s="713"/>
      <c r="GLG33" s="713"/>
      <c r="GLH33" s="713"/>
      <c r="GLI33" s="713"/>
      <c r="GLJ33" s="713"/>
      <c r="GLK33" s="713"/>
      <c r="GLL33" s="713"/>
      <c r="GLM33" s="713"/>
      <c r="GLN33" s="713"/>
      <c r="GLO33" s="713"/>
      <c r="GLP33" s="713"/>
      <c r="GLQ33" s="713"/>
      <c r="GLR33" s="713"/>
      <c r="GLS33" s="713"/>
      <c r="GLT33" s="713"/>
      <c r="GLU33" s="713"/>
      <c r="GLV33" s="713"/>
      <c r="GLW33" s="713"/>
      <c r="GLX33" s="713"/>
      <c r="GLY33" s="713"/>
      <c r="GLZ33" s="713"/>
      <c r="GMA33" s="713"/>
      <c r="GMB33" s="713"/>
      <c r="GMC33" s="713"/>
      <c r="GMD33" s="713"/>
      <c r="GME33" s="713"/>
      <c r="GMF33" s="713"/>
      <c r="GMG33" s="713"/>
      <c r="GMH33" s="713"/>
      <c r="GMI33" s="713"/>
      <c r="GMJ33" s="713"/>
      <c r="GMK33" s="713"/>
      <c r="GML33" s="713"/>
      <c r="GMM33" s="713"/>
      <c r="GMN33" s="713"/>
      <c r="GMO33" s="713"/>
      <c r="GMP33" s="713"/>
      <c r="GMQ33" s="713"/>
      <c r="GMR33" s="713"/>
      <c r="GMS33" s="713"/>
      <c r="GMT33" s="713"/>
      <c r="GMU33" s="713"/>
      <c r="GMV33" s="713"/>
      <c r="GMW33" s="713"/>
      <c r="GMX33" s="713"/>
      <c r="GMY33" s="713"/>
      <c r="GMZ33" s="713"/>
      <c r="GNA33" s="713"/>
      <c r="GNB33" s="713"/>
      <c r="GNC33" s="713"/>
      <c r="GND33" s="713"/>
      <c r="GNE33" s="713"/>
      <c r="GNF33" s="713"/>
      <c r="GNG33" s="713"/>
      <c r="GNH33" s="713"/>
      <c r="GNI33" s="713"/>
      <c r="GNJ33" s="713"/>
      <c r="GNK33" s="713"/>
      <c r="GNL33" s="713"/>
      <c r="GNM33" s="713"/>
      <c r="GNN33" s="713"/>
      <c r="GNO33" s="713"/>
      <c r="GNP33" s="713"/>
      <c r="GNQ33" s="713"/>
      <c r="GNR33" s="713"/>
      <c r="GNS33" s="713"/>
      <c r="GNT33" s="713"/>
      <c r="GNU33" s="713"/>
      <c r="GNV33" s="713"/>
      <c r="GNW33" s="713"/>
      <c r="GNX33" s="713"/>
      <c r="GNY33" s="713"/>
      <c r="GNZ33" s="713"/>
      <c r="GOA33" s="713"/>
      <c r="GOB33" s="713"/>
      <c r="GOC33" s="713"/>
      <c r="GOD33" s="713"/>
      <c r="GOE33" s="713"/>
      <c r="GOF33" s="713"/>
      <c r="GOG33" s="713"/>
      <c r="GOH33" s="713"/>
      <c r="GOI33" s="713"/>
      <c r="GOJ33" s="713"/>
      <c r="GOK33" s="713"/>
      <c r="GOL33" s="713"/>
      <c r="GOM33" s="713"/>
      <c r="GON33" s="713"/>
      <c r="GOO33" s="713"/>
      <c r="GOP33" s="713"/>
      <c r="GOQ33" s="713"/>
      <c r="GOR33" s="713"/>
      <c r="GOS33" s="713"/>
      <c r="GOT33" s="713"/>
      <c r="GOU33" s="713"/>
      <c r="GOV33" s="713"/>
      <c r="GOW33" s="713"/>
      <c r="GOX33" s="713"/>
      <c r="GOY33" s="713"/>
      <c r="GOZ33" s="713"/>
      <c r="GPA33" s="713"/>
      <c r="GPB33" s="713"/>
      <c r="GPC33" s="713"/>
      <c r="GPD33" s="713"/>
      <c r="GPE33" s="713"/>
      <c r="GPF33" s="713"/>
      <c r="GPG33" s="713"/>
      <c r="GPH33" s="713"/>
      <c r="GPI33" s="713"/>
      <c r="GPJ33" s="713"/>
      <c r="GPK33" s="713"/>
      <c r="GPL33" s="713"/>
      <c r="GPM33" s="713"/>
      <c r="GPN33" s="713"/>
      <c r="GPO33" s="713"/>
      <c r="GPP33" s="713"/>
      <c r="GPQ33" s="713"/>
      <c r="GPR33" s="713"/>
      <c r="GPS33" s="713"/>
      <c r="GPT33" s="713"/>
      <c r="GPU33" s="713"/>
      <c r="GPV33" s="713"/>
      <c r="GPW33" s="713"/>
      <c r="GPX33" s="713"/>
      <c r="GPY33" s="713"/>
      <c r="GPZ33" s="713"/>
      <c r="GQA33" s="713"/>
      <c r="GQB33" s="713"/>
      <c r="GQC33" s="713"/>
      <c r="GQD33" s="713"/>
      <c r="GQE33" s="713"/>
      <c r="GQF33" s="713"/>
      <c r="GQG33" s="713"/>
      <c r="GQH33" s="713"/>
      <c r="GQI33" s="713"/>
      <c r="GQJ33" s="713"/>
      <c r="GQK33" s="713"/>
      <c r="GQL33" s="713"/>
      <c r="GQM33" s="713"/>
      <c r="GQN33" s="713"/>
      <c r="GQO33" s="713"/>
      <c r="GQP33" s="713"/>
      <c r="GQQ33" s="713"/>
      <c r="GQR33" s="713"/>
      <c r="GQS33" s="713"/>
      <c r="GQT33" s="713"/>
      <c r="GQU33" s="713"/>
      <c r="GQV33" s="713"/>
      <c r="GQW33" s="713"/>
      <c r="GQX33" s="713"/>
      <c r="GQY33" s="713"/>
      <c r="GQZ33" s="713"/>
      <c r="GRA33" s="713"/>
      <c r="GRB33" s="713"/>
      <c r="GRC33" s="713"/>
      <c r="GRD33" s="713"/>
      <c r="GRE33" s="713"/>
      <c r="GRF33" s="713"/>
      <c r="GRG33" s="713"/>
      <c r="GRH33" s="713"/>
      <c r="GRI33" s="713"/>
      <c r="GRJ33" s="713"/>
      <c r="GRK33" s="713"/>
      <c r="GRL33" s="713"/>
      <c r="GRM33" s="713"/>
      <c r="GRN33" s="713"/>
      <c r="GRO33" s="713"/>
      <c r="GRP33" s="713"/>
      <c r="GRQ33" s="713"/>
      <c r="GRR33" s="713"/>
      <c r="GRS33" s="713"/>
      <c r="GRT33" s="713"/>
      <c r="GRU33" s="713"/>
      <c r="GRV33" s="713"/>
      <c r="GRW33" s="713"/>
      <c r="GRX33" s="713"/>
      <c r="GRY33" s="713"/>
      <c r="GRZ33" s="713"/>
      <c r="GSA33" s="713"/>
      <c r="GSB33" s="713"/>
      <c r="GSC33" s="713"/>
      <c r="GSD33" s="713"/>
      <c r="GSE33" s="713"/>
      <c r="GSF33" s="713"/>
      <c r="GSG33" s="713"/>
      <c r="GSH33" s="713"/>
      <c r="GSI33" s="713"/>
      <c r="GSJ33" s="713"/>
      <c r="GSK33" s="713"/>
      <c r="GSL33" s="713"/>
      <c r="GSM33" s="713"/>
      <c r="GSN33" s="713"/>
      <c r="GSO33" s="713"/>
      <c r="GSP33" s="713"/>
      <c r="GSQ33" s="713"/>
      <c r="GSR33" s="713"/>
      <c r="GSS33" s="713"/>
      <c r="GST33" s="713"/>
      <c r="GSU33" s="713"/>
      <c r="GSV33" s="713"/>
      <c r="GSW33" s="713"/>
      <c r="GSX33" s="713"/>
      <c r="GSY33" s="713"/>
      <c r="GSZ33" s="713"/>
      <c r="GTA33" s="713"/>
      <c r="GTB33" s="713"/>
      <c r="GTC33" s="713"/>
      <c r="GTD33" s="713"/>
      <c r="GTE33" s="713"/>
      <c r="GTF33" s="713"/>
      <c r="GTG33" s="713"/>
      <c r="GTH33" s="713"/>
      <c r="GTI33" s="713"/>
      <c r="GTJ33" s="713"/>
      <c r="GTK33" s="713"/>
      <c r="GTL33" s="713"/>
      <c r="GTM33" s="713"/>
      <c r="GTN33" s="713"/>
      <c r="GTO33" s="713"/>
      <c r="GTP33" s="713"/>
      <c r="GTQ33" s="713"/>
      <c r="GTR33" s="713"/>
      <c r="GTS33" s="713"/>
      <c r="GTT33" s="713"/>
      <c r="GTU33" s="713"/>
      <c r="GTV33" s="713"/>
      <c r="GTW33" s="713"/>
      <c r="GTX33" s="713"/>
      <c r="GTY33" s="713"/>
      <c r="GTZ33" s="713"/>
      <c r="GUA33" s="713"/>
      <c r="GUB33" s="713"/>
      <c r="GUC33" s="713"/>
      <c r="GUD33" s="713"/>
      <c r="GUE33" s="713"/>
      <c r="GUF33" s="713"/>
      <c r="GUG33" s="713"/>
      <c r="GUH33" s="713"/>
      <c r="GUI33" s="713"/>
      <c r="GUJ33" s="713"/>
      <c r="GUK33" s="713"/>
      <c r="GUL33" s="713"/>
      <c r="GUM33" s="713"/>
      <c r="GUN33" s="713"/>
      <c r="GUO33" s="713"/>
      <c r="GUP33" s="713"/>
      <c r="GUQ33" s="713"/>
      <c r="GUR33" s="713"/>
      <c r="GUS33" s="713"/>
      <c r="GUT33" s="713"/>
      <c r="GUU33" s="713"/>
      <c r="GUV33" s="713"/>
      <c r="GUW33" s="713"/>
      <c r="GUX33" s="713"/>
      <c r="GUY33" s="713"/>
      <c r="GUZ33" s="713"/>
      <c r="GVA33" s="713"/>
      <c r="GVB33" s="713"/>
      <c r="GVC33" s="713"/>
      <c r="GVD33" s="713"/>
      <c r="GVE33" s="713"/>
      <c r="GVF33" s="713"/>
      <c r="GVG33" s="713"/>
      <c r="GVH33" s="713"/>
      <c r="GVI33" s="713"/>
      <c r="GVJ33" s="713"/>
      <c r="GVK33" s="713"/>
      <c r="GVL33" s="713"/>
      <c r="GVM33" s="713"/>
      <c r="GVN33" s="713"/>
      <c r="GVO33" s="713"/>
      <c r="GVP33" s="713"/>
      <c r="GVQ33" s="713"/>
      <c r="GVR33" s="713"/>
      <c r="GVS33" s="713"/>
      <c r="GVT33" s="713"/>
      <c r="GVU33" s="713"/>
      <c r="GVV33" s="713"/>
      <c r="GVW33" s="713"/>
      <c r="GVX33" s="713"/>
      <c r="GVY33" s="713"/>
      <c r="GVZ33" s="713"/>
      <c r="GWA33" s="713"/>
      <c r="GWB33" s="713"/>
      <c r="GWC33" s="713"/>
      <c r="GWD33" s="713"/>
      <c r="GWE33" s="713"/>
      <c r="GWF33" s="713"/>
      <c r="GWG33" s="713"/>
      <c r="GWH33" s="713"/>
      <c r="GWI33" s="713"/>
      <c r="GWJ33" s="713"/>
      <c r="GWK33" s="713"/>
      <c r="GWL33" s="713"/>
      <c r="GWM33" s="713"/>
      <c r="GWN33" s="713"/>
      <c r="GWO33" s="713"/>
      <c r="GWP33" s="713"/>
      <c r="GWQ33" s="713"/>
      <c r="GWR33" s="713"/>
      <c r="GWS33" s="713"/>
      <c r="GWT33" s="713"/>
      <c r="GWU33" s="713"/>
      <c r="GWV33" s="713"/>
      <c r="GWW33" s="713"/>
      <c r="GWX33" s="713"/>
      <c r="GWY33" s="713"/>
      <c r="GWZ33" s="713"/>
      <c r="GXA33" s="713"/>
      <c r="GXB33" s="713"/>
      <c r="GXC33" s="713"/>
      <c r="GXD33" s="713"/>
      <c r="GXE33" s="713"/>
      <c r="GXF33" s="713"/>
      <c r="GXG33" s="713"/>
      <c r="GXH33" s="713"/>
      <c r="GXI33" s="713"/>
      <c r="GXJ33" s="713"/>
      <c r="GXK33" s="713"/>
      <c r="GXL33" s="713"/>
      <c r="GXM33" s="713"/>
      <c r="GXN33" s="713"/>
      <c r="GXO33" s="713"/>
      <c r="GXP33" s="713"/>
      <c r="GXQ33" s="713"/>
      <c r="GXR33" s="713"/>
      <c r="GXS33" s="713"/>
      <c r="GXT33" s="713"/>
      <c r="GXU33" s="713"/>
      <c r="GXV33" s="713"/>
      <c r="GXW33" s="713"/>
      <c r="GXX33" s="713"/>
      <c r="GXY33" s="713"/>
      <c r="GXZ33" s="713"/>
      <c r="GYA33" s="713"/>
      <c r="GYB33" s="713"/>
      <c r="GYC33" s="713"/>
      <c r="GYD33" s="713"/>
      <c r="GYE33" s="713"/>
      <c r="GYF33" s="713"/>
      <c r="GYG33" s="713"/>
      <c r="GYH33" s="713"/>
      <c r="GYI33" s="713"/>
      <c r="GYJ33" s="713"/>
      <c r="GYK33" s="713"/>
      <c r="GYL33" s="713"/>
      <c r="GYM33" s="713"/>
      <c r="GYN33" s="713"/>
      <c r="GYO33" s="713"/>
      <c r="GYP33" s="713"/>
      <c r="GYQ33" s="713"/>
      <c r="GYR33" s="713"/>
      <c r="GYS33" s="713"/>
      <c r="GYT33" s="713"/>
      <c r="GYU33" s="713"/>
      <c r="GYV33" s="713"/>
      <c r="GYW33" s="713"/>
      <c r="GYX33" s="713"/>
      <c r="GYY33" s="713"/>
      <c r="GYZ33" s="713"/>
      <c r="GZA33" s="713"/>
      <c r="GZB33" s="713"/>
      <c r="GZC33" s="713"/>
      <c r="GZD33" s="713"/>
      <c r="GZE33" s="713"/>
      <c r="GZF33" s="713"/>
      <c r="GZG33" s="713"/>
      <c r="GZH33" s="713"/>
      <c r="GZI33" s="713"/>
      <c r="GZJ33" s="713"/>
      <c r="GZK33" s="713"/>
      <c r="GZL33" s="713"/>
      <c r="GZM33" s="713"/>
      <c r="GZN33" s="713"/>
      <c r="GZO33" s="713"/>
      <c r="GZP33" s="713"/>
      <c r="GZQ33" s="713"/>
      <c r="GZR33" s="713"/>
      <c r="GZS33" s="713"/>
      <c r="GZT33" s="713"/>
      <c r="GZU33" s="713"/>
      <c r="GZV33" s="713"/>
      <c r="GZW33" s="713"/>
      <c r="GZX33" s="713"/>
      <c r="GZY33" s="713"/>
      <c r="GZZ33" s="713"/>
      <c r="HAA33" s="713"/>
      <c r="HAB33" s="713"/>
      <c r="HAC33" s="713"/>
      <c r="HAD33" s="713"/>
      <c r="HAE33" s="713"/>
      <c r="HAF33" s="713"/>
      <c r="HAG33" s="713"/>
      <c r="HAH33" s="713"/>
      <c r="HAI33" s="713"/>
      <c r="HAJ33" s="713"/>
      <c r="HAK33" s="713"/>
      <c r="HAL33" s="713"/>
      <c r="HAM33" s="713"/>
      <c r="HAN33" s="713"/>
      <c r="HAO33" s="713"/>
      <c r="HAP33" s="713"/>
      <c r="HAQ33" s="713"/>
      <c r="HAR33" s="713"/>
      <c r="HAS33" s="713"/>
      <c r="HAT33" s="713"/>
      <c r="HAU33" s="713"/>
      <c r="HAV33" s="713"/>
      <c r="HAW33" s="713"/>
      <c r="HAX33" s="713"/>
      <c r="HAY33" s="713"/>
      <c r="HAZ33" s="713"/>
      <c r="HBA33" s="713"/>
      <c r="HBB33" s="713"/>
      <c r="HBC33" s="713"/>
      <c r="HBD33" s="713"/>
      <c r="HBE33" s="713"/>
      <c r="HBF33" s="713"/>
      <c r="HBG33" s="713"/>
      <c r="HBH33" s="713"/>
      <c r="HBI33" s="713"/>
      <c r="HBJ33" s="713"/>
      <c r="HBK33" s="713"/>
      <c r="HBL33" s="713"/>
      <c r="HBM33" s="713"/>
      <c r="HBN33" s="713"/>
      <c r="HBO33" s="713"/>
      <c r="HBP33" s="713"/>
      <c r="HBQ33" s="713"/>
      <c r="HBR33" s="713"/>
      <c r="HBS33" s="713"/>
      <c r="HBT33" s="713"/>
      <c r="HBU33" s="713"/>
      <c r="HBV33" s="713"/>
      <c r="HBW33" s="713"/>
      <c r="HBX33" s="713"/>
      <c r="HBY33" s="713"/>
      <c r="HBZ33" s="713"/>
      <c r="HCA33" s="713"/>
      <c r="HCB33" s="713"/>
      <c r="HCC33" s="713"/>
      <c r="HCD33" s="713"/>
      <c r="HCE33" s="713"/>
      <c r="HCF33" s="713"/>
      <c r="HCG33" s="713"/>
      <c r="HCH33" s="713"/>
      <c r="HCI33" s="713"/>
      <c r="HCJ33" s="713"/>
      <c r="HCK33" s="713"/>
      <c r="HCL33" s="713"/>
      <c r="HCM33" s="713"/>
      <c r="HCN33" s="713"/>
      <c r="HCO33" s="713"/>
      <c r="HCP33" s="713"/>
      <c r="HCQ33" s="713"/>
      <c r="HCR33" s="713"/>
      <c r="HCS33" s="713"/>
      <c r="HCT33" s="713"/>
      <c r="HCU33" s="713"/>
      <c r="HCV33" s="713"/>
      <c r="HCW33" s="713"/>
      <c r="HCX33" s="713"/>
      <c r="HCY33" s="713"/>
      <c r="HCZ33" s="713"/>
      <c r="HDA33" s="713"/>
      <c r="HDB33" s="713"/>
      <c r="HDC33" s="713"/>
      <c r="HDD33" s="713"/>
      <c r="HDE33" s="713"/>
      <c r="HDF33" s="713"/>
      <c r="HDG33" s="713"/>
      <c r="HDH33" s="713"/>
      <c r="HDI33" s="713"/>
      <c r="HDJ33" s="713"/>
      <c r="HDK33" s="713"/>
      <c r="HDL33" s="713"/>
      <c r="HDM33" s="713"/>
      <c r="HDN33" s="713"/>
      <c r="HDO33" s="713"/>
      <c r="HDP33" s="713"/>
      <c r="HDQ33" s="713"/>
      <c r="HDR33" s="713"/>
      <c r="HDS33" s="713"/>
      <c r="HDT33" s="713"/>
      <c r="HDU33" s="713"/>
      <c r="HDV33" s="713"/>
      <c r="HDW33" s="713"/>
      <c r="HDX33" s="713"/>
      <c r="HDY33" s="713"/>
      <c r="HDZ33" s="713"/>
      <c r="HEA33" s="713"/>
      <c r="HEB33" s="713"/>
      <c r="HEC33" s="713"/>
      <c r="HED33" s="713"/>
      <c r="HEE33" s="713"/>
      <c r="HEF33" s="713"/>
      <c r="HEG33" s="713"/>
      <c r="HEH33" s="713"/>
      <c r="HEI33" s="713"/>
      <c r="HEJ33" s="713"/>
      <c r="HEK33" s="713"/>
      <c r="HEL33" s="713"/>
      <c r="HEM33" s="713"/>
      <c r="HEN33" s="713"/>
      <c r="HEO33" s="713"/>
      <c r="HEP33" s="713"/>
      <c r="HEQ33" s="713"/>
      <c r="HER33" s="713"/>
      <c r="HES33" s="713"/>
      <c r="HET33" s="713"/>
      <c r="HEU33" s="713"/>
      <c r="HEV33" s="713"/>
      <c r="HEW33" s="713"/>
      <c r="HEX33" s="713"/>
      <c r="HEY33" s="713"/>
      <c r="HEZ33" s="713"/>
      <c r="HFA33" s="713"/>
      <c r="HFB33" s="713"/>
      <c r="HFC33" s="713"/>
      <c r="HFD33" s="713"/>
      <c r="HFE33" s="713"/>
      <c r="HFF33" s="713"/>
      <c r="HFG33" s="713"/>
      <c r="HFH33" s="713"/>
      <c r="HFI33" s="713"/>
      <c r="HFJ33" s="713"/>
      <c r="HFK33" s="713"/>
      <c r="HFL33" s="713"/>
      <c r="HFM33" s="713"/>
      <c r="HFN33" s="713"/>
      <c r="HFO33" s="713"/>
      <c r="HFP33" s="713"/>
      <c r="HFQ33" s="713"/>
      <c r="HFR33" s="713"/>
      <c r="HFS33" s="713"/>
      <c r="HFT33" s="713"/>
      <c r="HFU33" s="713"/>
      <c r="HFV33" s="713"/>
      <c r="HFW33" s="713"/>
      <c r="HFX33" s="713"/>
      <c r="HFY33" s="713"/>
      <c r="HFZ33" s="713"/>
      <c r="HGA33" s="713"/>
      <c r="HGB33" s="713"/>
      <c r="HGC33" s="713"/>
      <c r="HGD33" s="713"/>
      <c r="HGE33" s="713"/>
      <c r="HGF33" s="713"/>
      <c r="HGG33" s="713"/>
      <c r="HGH33" s="713"/>
      <c r="HGI33" s="713"/>
      <c r="HGJ33" s="713"/>
      <c r="HGK33" s="713"/>
      <c r="HGL33" s="713"/>
      <c r="HGM33" s="713"/>
      <c r="HGN33" s="713"/>
      <c r="HGO33" s="713"/>
      <c r="HGP33" s="713"/>
      <c r="HGQ33" s="713"/>
      <c r="HGR33" s="713"/>
      <c r="HGS33" s="713"/>
      <c r="HGT33" s="713"/>
      <c r="HGU33" s="713"/>
      <c r="HGV33" s="713"/>
      <c r="HGW33" s="713"/>
      <c r="HGX33" s="713"/>
      <c r="HGY33" s="713"/>
      <c r="HGZ33" s="713"/>
      <c r="HHA33" s="713"/>
      <c r="HHB33" s="713"/>
      <c r="HHC33" s="713"/>
      <c r="HHD33" s="713"/>
      <c r="HHE33" s="713"/>
      <c r="HHF33" s="713"/>
      <c r="HHG33" s="713"/>
      <c r="HHH33" s="713"/>
      <c r="HHI33" s="713"/>
      <c r="HHJ33" s="713"/>
      <c r="HHK33" s="713"/>
      <c r="HHL33" s="713"/>
      <c r="HHM33" s="713"/>
      <c r="HHN33" s="713"/>
      <c r="HHO33" s="713"/>
      <c r="HHP33" s="713"/>
      <c r="HHQ33" s="713"/>
      <c r="HHR33" s="713"/>
      <c r="HHS33" s="713"/>
      <c r="HHT33" s="713"/>
      <c r="HHU33" s="713"/>
      <c r="HHV33" s="713"/>
      <c r="HHW33" s="713"/>
      <c r="HHX33" s="713"/>
      <c r="HHY33" s="713"/>
      <c r="HHZ33" s="713"/>
      <c r="HIA33" s="713"/>
      <c r="HIB33" s="713"/>
      <c r="HIC33" s="713"/>
      <c r="HID33" s="713"/>
      <c r="HIE33" s="713"/>
      <c r="HIF33" s="713"/>
      <c r="HIG33" s="713"/>
      <c r="HIH33" s="713"/>
      <c r="HII33" s="713"/>
      <c r="HIJ33" s="713"/>
      <c r="HIK33" s="713"/>
      <c r="HIL33" s="713"/>
      <c r="HIM33" s="713"/>
      <c r="HIN33" s="713"/>
      <c r="HIO33" s="713"/>
      <c r="HIP33" s="713"/>
      <c r="HIQ33" s="713"/>
      <c r="HIR33" s="713"/>
      <c r="HIS33" s="713"/>
      <c r="HIT33" s="713"/>
      <c r="HIU33" s="713"/>
      <c r="HIV33" s="713"/>
      <c r="HIW33" s="713"/>
      <c r="HIX33" s="713"/>
      <c r="HIY33" s="713"/>
      <c r="HIZ33" s="713"/>
      <c r="HJA33" s="713"/>
      <c r="HJB33" s="713"/>
      <c r="HJC33" s="713"/>
      <c r="HJD33" s="713"/>
      <c r="HJE33" s="713"/>
      <c r="HJF33" s="713"/>
      <c r="HJG33" s="713"/>
      <c r="HJH33" s="713"/>
      <c r="HJI33" s="713"/>
      <c r="HJJ33" s="713"/>
      <c r="HJK33" s="713"/>
      <c r="HJL33" s="713"/>
      <c r="HJM33" s="713"/>
      <c r="HJN33" s="713"/>
      <c r="HJO33" s="713"/>
      <c r="HJP33" s="713"/>
      <c r="HJQ33" s="713"/>
      <c r="HJR33" s="713"/>
      <c r="HJS33" s="713"/>
      <c r="HJT33" s="713"/>
      <c r="HJU33" s="713"/>
      <c r="HJV33" s="713"/>
      <c r="HJW33" s="713"/>
      <c r="HJX33" s="713"/>
      <c r="HJY33" s="713"/>
      <c r="HJZ33" s="713"/>
      <c r="HKA33" s="713"/>
      <c r="HKB33" s="713"/>
      <c r="HKC33" s="713"/>
      <c r="HKD33" s="713"/>
      <c r="HKE33" s="713"/>
      <c r="HKF33" s="713"/>
      <c r="HKG33" s="713"/>
      <c r="HKH33" s="713"/>
      <c r="HKI33" s="713"/>
      <c r="HKJ33" s="713"/>
      <c r="HKK33" s="713"/>
      <c r="HKL33" s="713"/>
      <c r="HKM33" s="713"/>
      <c r="HKN33" s="713"/>
      <c r="HKO33" s="713"/>
      <c r="HKP33" s="713"/>
      <c r="HKQ33" s="713"/>
      <c r="HKR33" s="713"/>
      <c r="HKS33" s="713"/>
      <c r="HKT33" s="713"/>
      <c r="HKU33" s="713"/>
      <c r="HKV33" s="713"/>
      <c r="HKW33" s="713"/>
      <c r="HKX33" s="713"/>
      <c r="HKY33" s="713"/>
      <c r="HKZ33" s="713"/>
      <c r="HLA33" s="713"/>
      <c r="HLB33" s="713"/>
      <c r="HLC33" s="713"/>
      <c r="HLD33" s="713"/>
      <c r="HLE33" s="713"/>
      <c r="HLF33" s="713"/>
      <c r="HLG33" s="713"/>
      <c r="HLH33" s="713"/>
      <c r="HLI33" s="713"/>
      <c r="HLJ33" s="713"/>
      <c r="HLK33" s="713"/>
      <c r="HLL33" s="713"/>
      <c r="HLM33" s="713"/>
      <c r="HLN33" s="713"/>
      <c r="HLO33" s="713"/>
      <c r="HLP33" s="713"/>
      <c r="HLQ33" s="713"/>
      <c r="HLR33" s="713"/>
      <c r="HLS33" s="713"/>
      <c r="HLT33" s="713"/>
      <c r="HLU33" s="713"/>
      <c r="HLV33" s="713"/>
      <c r="HLW33" s="713"/>
      <c r="HLX33" s="713"/>
      <c r="HLY33" s="713"/>
      <c r="HLZ33" s="713"/>
      <c r="HMA33" s="713"/>
      <c r="HMB33" s="713"/>
      <c r="HMC33" s="713"/>
      <c r="HMD33" s="713"/>
      <c r="HME33" s="713"/>
      <c r="HMF33" s="713"/>
      <c r="HMG33" s="713"/>
      <c r="HMH33" s="713"/>
      <c r="HMI33" s="713"/>
      <c r="HMJ33" s="713"/>
      <c r="HMK33" s="713"/>
      <c r="HML33" s="713"/>
      <c r="HMM33" s="713"/>
      <c r="HMN33" s="713"/>
      <c r="HMO33" s="713"/>
      <c r="HMP33" s="713"/>
      <c r="HMQ33" s="713"/>
      <c r="HMR33" s="713"/>
      <c r="HMS33" s="713"/>
      <c r="HMT33" s="713"/>
      <c r="HMU33" s="713"/>
      <c r="HMV33" s="713"/>
      <c r="HMW33" s="713"/>
      <c r="HMX33" s="713"/>
      <c r="HMY33" s="713"/>
      <c r="HMZ33" s="713"/>
      <c r="HNA33" s="713"/>
      <c r="HNB33" s="713"/>
      <c r="HNC33" s="713"/>
      <c r="HND33" s="713"/>
      <c r="HNE33" s="713"/>
      <c r="HNF33" s="713"/>
      <c r="HNG33" s="713"/>
      <c r="HNH33" s="713"/>
      <c r="HNI33" s="713"/>
      <c r="HNJ33" s="713"/>
      <c r="HNK33" s="713"/>
      <c r="HNL33" s="713"/>
      <c r="HNM33" s="713"/>
      <c r="HNN33" s="713"/>
      <c r="HNO33" s="713"/>
      <c r="HNP33" s="713"/>
      <c r="HNQ33" s="713"/>
      <c r="HNR33" s="713"/>
      <c r="HNS33" s="713"/>
      <c r="HNT33" s="713"/>
      <c r="HNU33" s="713"/>
      <c r="HNV33" s="713"/>
      <c r="HNW33" s="713"/>
      <c r="HNX33" s="713"/>
      <c r="HNY33" s="713"/>
      <c r="HNZ33" s="713"/>
      <c r="HOA33" s="713"/>
      <c r="HOB33" s="713"/>
      <c r="HOC33" s="713"/>
      <c r="HOD33" s="713"/>
      <c r="HOE33" s="713"/>
      <c r="HOF33" s="713"/>
      <c r="HOG33" s="713"/>
      <c r="HOH33" s="713"/>
      <c r="HOI33" s="713"/>
      <c r="HOJ33" s="713"/>
      <c r="HOK33" s="713"/>
      <c r="HOL33" s="713"/>
      <c r="HOM33" s="713"/>
      <c r="HON33" s="713"/>
      <c r="HOO33" s="713"/>
      <c r="HOP33" s="713"/>
      <c r="HOQ33" s="713"/>
      <c r="HOR33" s="713"/>
      <c r="HOS33" s="713"/>
      <c r="HOT33" s="713"/>
      <c r="HOU33" s="713"/>
      <c r="HOV33" s="713"/>
      <c r="HOW33" s="713"/>
      <c r="HOX33" s="713"/>
      <c r="HOY33" s="713"/>
      <c r="HOZ33" s="713"/>
      <c r="HPA33" s="713"/>
      <c r="HPB33" s="713"/>
      <c r="HPC33" s="713"/>
      <c r="HPD33" s="713"/>
      <c r="HPE33" s="713"/>
      <c r="HPF33" s="713"/>
      <c r="HPG33" s="713"/>
      <c r="HPH33" s="713"/>
      <c r="HPI33" s="713"/>
      <c r="HPJ33" s="713"/>
      <c r="HPK33" s="713"/>
      <c r="HPL33" s="713"/>
      <c r="HPM33" s="713"/>
      <c r="HPN33" s="713"/>
      <c r="HPO33" s="713"/>
      <c r="HPP33" s="713"/>
      <c r="HPQ33" s="713"/>
      <c r="HPR33" s="713"/>
      <c r="HPS33" s="713"/>
      <c r="HPT33" s="713"/>
      <c r="HPU33" s="713"/>
      <c r="HPV33" s="713"/>
      <c r="HPW33" s="713"/>
      <c r="HPX33" s="713"/>
      <c r="HPY33" s="713"/>
      <c r="HPZ33" s="713"/>
      <c r="HQA33" s="713"/>
      <c r="HQB33" s="713"/>
      <c r="HQC33" s="713"/>
      <c r="HQD33" s="713"/>
      <c r="HQE33" s="713"/>
      <c r="HQF33" s="713"/>
      <c r="HQG33" s="713"/>
      <c r="HQH33" s="713"/>
      <c r="HQI33" s="713"/>
      <c r="HQJ33" s="713"/>
      <c r="HQK33" s="713"/>
      <c r="HQL33" s="713"/>
      <c r="HQM33" s="713"/>
      <c r="HQN33" s="713"/>
      <c r="HQO33" s="713"/>
      <c r="HQP33" s="713"/>
      <c r="HQQ33" s="713"/>
      <c r="HQR33" s="713"/>
      <c r="HQS33" s="713"/>
      <c r="HQT33" s="713"/>
      <c r="HQU33" s="713"/>
      <c r="HQV33" s="713"/>
      <c r="HQW33" s="713"/>
      <c r="HQX33" s="713"/>
      <c r="HQY33" s="713"/>
      <c r="HQZ33" s="713"/>
      <c r="HRA33" s="713"/>
      <c r="HRB33" s="713"/>
      <c r="HRC33" s="713"/>
      <c r="HRD33" s="713"/>
      <c r="HRE33" s="713"/>
      <c r="HRF33" s="713"/>
      <c r="HRG33" s="713"/>
      <c r="HRH33" s="713"/>
      <c r="HRI33" s="713"/>
      <c r="HRJ33" s="713"/>
      <c r="HRK33" s="713"/>
      <c r="HRL33" s="713"/>
      <c r="HRM33" s="713"/>
      <c r="HRN33" s="713"/>
      <c r="HRO33" s="713"/>
      <c r="HRP33" s="713"/>
      <c r="HRQ33" s="713"/>
      <c r="HRR33" s="713"/>
      <c r="HRS33" s="713"/>
      <c r="HRT33" s="713"/>
      <c r="HRU33" s="713"/>
      <c r="HRV33" s="713"/>
      <c r="HRW33" s="713"/>
      <c r="HRX33" s="713"/>
      <c r="HRY33" s="713"/>
      <c r="HRZ33" s="713"/>
      <c r="HSA33" s="713"/>
      <c r="HSB33" s="713"/>
      <c r="HSC33" s="713"/>
      <c r="HSD33" s="713"/>
      <c r="HSE33" s="713"/>
      <c r="HSF33" s="713"/>
      <c r="HSG33" s="713"/>
      <c r="HSH33" s="713"/>
      <c r="HSI33" s="713"/>
      <c r="HSJ33" s="713"/>
      <c r="HSK33" s="713"/>
      <c r="HSL33" s="713"/>
      <c r="HSM33" s="713"/>
      <c r="HSN33" s="713"/>
      <c r="HSO33" s="713"/>
      <c r="HSP33" s="713"/>
      <c r="HSQ33" s="713"/>
      <c r="HSR33" s="713"/>
      <c r="HSS33" s="713"/>
      <c r="HST33" s="713"/>
      <c r="HSU33" s="713"/>
      <c r="HSV33" s="713"/>
      <c r="HSW33" s="713"/>
      <c r="HSX33" s="713"/>
      <c r="HSY33" s="713"/>
      <c r="HSZ33" s="713"/>
      <c r="HTA33" s="713"/>
      <c r="HTB33" s="713"/>
      <c r="HTC33" s="713"/>
      <c r="HTD33" s="713"/>
      <c r="HTE33" s="713"/>
      <c r="HTF33" s="713"/>
      <c r="HTG33" s="713"/>
      <c r="HTH33" s="713"/>
      <c r="HTI33" s="713"/>
      <c r="HTJ33" s="713"/>
      <c r="HTK33" s="713"/>
      <c r="HTL33" s="713"/>
      <c r="HTM33" s="713"/>
      <c r="HTN33" s="713"/>
      <c r="HTO33" s="713"/>
      <c r="HTP33" s="713"/>
      <c r="HTQ33" s="713"/>
      <c r="HTR33" s="713"/>
      <c r="HTS33" s="713"/>
      <c r="HTT33" s="713"/>
      <c r="HTU33" s="713"/>
      <c r="HTV33" s="713"/>
      <c r="HTW33" s="713"/>
      <c r="HTX33" s="713"/>
      <c r="HTY33" s="713"/>
      <c r="HTZ33" s="713"/>
      <c r="HUA33" s="713"/>
      <c r="HUB33" s="713"/>
      <c r="HUC33" s="713"/>
      <c r="HUD33" s="713"/>
      <c r="HUE33" s="713"/>
      <c r="HUF33" s="713"/>
      <c r="HUG33" s="713"/>
      <c r="HUH33" s="713"/>
      <c r="HUI33" s="713"/>
      <c r="HUJ33" s="713"/>
      <c r="HUK33" s="713"/>
      <c r="HUL33" s="713"/>
      <c r="HUM33" s="713"/>
      <c r="HUN33" s="713"/>
      <c r="HUO33" s="713"/>
      <c r="HUP33" s="713"/>
      <c r="HUQ33" s="713"/>
      <c r="HUR33" s="713"/>
      <c r="HUS33" s="713"/>
      <c r="HUT33" s="713"/>
      <c r="HUU33" s="713"/>
      <c r="HUV33" s="713"/>
      <c r="HUW33" s="713"/>
      <c r="HUX33" s="713"/>
      <c r="HUY33" s="713"/>
      <c r="HUZ33" s="713"/>
      <c r="HVA33" s="713"/>
      <c r="HVB33" s="713"/>
      <c r="HVC33" s="713"/>
      <c r="HVD33" s="713"/>
      <c r="HVE33" s="713"/>
      <c r="HVF33" s="713"/>
      <c r="HVG33" s="713"/>
      <c r="HVH33" s="713"/>
      <c r="HVI33" s="713"/>
      <c r="HVJ33" s="713"/>
      <c r="HVK33" s="713"/>
      <c r="HVL33" s="713"/>
      <c r="HVM33" s="713"/>
      <c r="HVN33" s="713"/>
      <c r="HVO33" s="713"/>
      <c r="HVP33" s="713"/>
      <c r="HVQ33" s="713"/>
      <c r="HVR33" s="713"/>
      <c r="HVS33" s="713"/>
      <c r="HVT33" s="713"/>
      <c r="HVU33" s="713"/>
      <c r="HVV33" s="713"/>
      <c r="HVW33" s="713"/>
      <c r="HVX33" s="713"/>
      <c r="HVY33" s="713"/>
      <c r="HVZ33" s="713"/>
      <c r="HWA33" s="713"/>
      <c r="HWB33" s="713"/>
      <c r="HWC33" s="713"/>
      <c r="HWD33" s="713"/>
      <c r="HWE33" s="713"/>
      <c r="HWF33" s="713"/>
      <c r="HWG33" s="713"/>
      <c r="HWH33" s="713"/>
      <c r="HWI33" s="713"/>
      <c r="HWJ33" s="713"/>
      <c r="HWK33" s="713"/>
      <c r="HWL33" s="713"/>
      <c r="HWM33" s="713"/>
      <c r="HWN33" s="713"/>
      <c r="HWO33" s="713"/>
      <c r="HWP33" s="713"/>
      <c r="HWQ33" s="713"/>
      <c r="HWR33" s="713"/>
      <c r="HWS33" s="713"/>
      <c r="HWT33" s="713"/>
      <c r="HWU33" s="713"/>
      <c r="HWV33" s="713"/>
      <c r="HWW33" s="713"/>
      <c r="HWX33" s="713"/>
      <c r="HWY33" s="713"/>
      <c r="HWZ33" s="713"/>
      <c r="HXA33" s="713"/>
      <c r="HXB33" s="713"/>
      <c r="HXC33" s="713"/>
      <c r="HXD33" s="713"/>
      <c r="HXE33" s="713"/>
      <c r="HXF33" s="713"/>
      <c r="HXG33" s="713"/>
      <c r="HXH33" s="713"/>
      <c r="HXI33" s="713"/>
      <c r="HXJ33" s="713"/>
      <c r="HXK33" s="713"/>
      <c r="HXL33" s="713"/>
      <c r="HXM33" s="713"/>
      <c r="HXN33" s="713"/>
      <c r="HXO33" s="713"/>
      <c r="HXP33" s="713"/>
      <c r="HXQ33" s="713"/>
      <c r="HXR33" s="713"/>
      <c r="HXS33" s="713"/>
      <c r="HXT33" s="713"/>
      <c r="HXU33" s="713"/>
      <c r="HXV33" s="713"/>
      <c r="HXW33" s="713"/>
      <c r="HXX33" s="713"/>
      <c r="HXY33" s="713"/>
      <c r="HXZ33" s="713"/>
      <c r="HYA33" s="713"/>
      <c r="HYB33" s="713"/>
      <c r="HYC33" s="713"/>
      <c r="HYD33" s="713"/>
      <c r="HYE33" s="713"/>
      <c r="HYF33" s="713"/>
      <c r="HYG33" s="713"/>
      <c r="HYH33" s="713"/>
      <c r="HYI33" s="713"/>
      <c r="HYJ33" s="713"/>
      <c r="HYK33" s="713"/>
      <c r="HYL33" s="713"/>
      <c r="HYM33" s="713"/>
      <c r="HYN33" s="713"/>
      <c r="HYO33" s="713"/>
      <c r="HYP33" s="713"/>
      <c r="HYQ33" s="713"/>
      <c r="HYR33" s="713"/>
      <c r="HYS33" s="713"/>
      <c r="HYT33" s="713"/>
      <c r="HYU33" s="713"/>
      <c r="HYV33" s="713"/>
      <c r="HYW33" s="713"/>
      <c r="HYX33" s="713"/>
      <c r="HYY33" s="713"/>
      <c r="HYZ33" s="713"/>
      <c r="HZA33" s="713"/>
      <c r="HZB33" s="713"/>
      <c r="HZC33" s="713"/>
      <c r="HZD33" s="713"/>
      <c r="HZE33" s="713"/>
      <c r="HZF33" s="713"/>
      <c r="HZG33" s="713"/>
      <c r="HZH33" s="713"/>
      <c r="HZI33" s="713"/>
      <c r="HZJ33" s="713"/>
      <c r="HZK33" s="713"/>
      <c r="HZL33" s="713"/>
      <c r="HZM33" s="713"/>
      <c r="HZN33" s="713"/>
      <c r="HZO33" s="713"/>
      <c r="HZP33" s="713"/>
      <c r="HZQ33" s="713"/>
      <c r="HZR33" s="713"/>
      <c r="HZS33" s="713"/>
      <c r="HZT33" s="713"/>
      <c r="HZU33" s="713"/>
      <c r="HZV33" s="713"/>
      <c r="HZW33" s="713"/>
      <c r="HZX33" s="713"/>
      <c r="HZY33" s="713"/>
      <c r="HZZ33" s="713"/>
      <c r="IAA33" s="713"/>
      <c r="IAB33" s="713"/>
      <c r="IAC33" s="713"/>
      <c r="IAD33" s="713"/>
      <c r="IAE33" s="713"/>
      <c r="IAF33" s="713"/>
      <c r="IAG33" s="713"/>
      <c r="IAH33" s="713"/>
      <c r="IAI33" s="713"/>
      <c r="IAJ33" s="713"/>
      <c r="IAK33" s="713"/>
      <c r="IAL33" s="713"/>
      <c r="IAM33" s="713"/>
      <c r="IAN33" s="713"/>
      <c r="IAO33" s="713"/>
      <c r="IAP33" s="713"/>
      <c r="IAQ33" s="713"/>
      <c r="IAR33" s="713"/>
      <c r="IAS33" s="713"/>
      <c r="IAT33" s="713"/>
      <c r="IAU33" s="713"/>
      <c r="IAV33" s="713"/>
      <c r="IAW33" s="713"/>
      <c r="IAX33" s="713"/>
      <c r="IAY33" s="713"/>
      <c r="IAZ33" s="713"/>
      <c r="IBA33" s="713"/>
      <c r="IBB33" s="713"/>
      <c r="IBC33" s="713"/>
      <c r="IBD33" s="713"/>
      <c r="IBE33" s="713"/>
      <c r="IBF33" s="713"/>
      <c r="IBG33" s="713"/>
      <c r="IBH33" s="713"/>
      <c r="IBI33" s="713"/>
      <c r="IBJ33" s="713"/>
      <c r="IBK33" s="713"/>
      <c r="IBL33" s="713"/>
      <c r="IBM33" s="713"/>
      <c r="IBN33" s="713"/>
      <c r="IBO33" s="713"/>
      <c r="IBP33" s="713"/>
      <c r="IBQ33" s="713"/>
      <c r="IBR33" s="713"/>
      <c r="IBS33" s="713"/>
      <c r="IBT33" s="713"/>
      <c r="IBU33" s="713"/>
      <c r="IBV33" s="713"/>
      <c r="IBW33" s="713"/>
      <c r="IBX33" s="713"/>
      <c r="IBY33" s="713"/>
      <c r="IBZ33" s="713"/>
      <c r="ICA33" s="713"/>
      <c r="ICB33" s="713"/>
      <c r="ICC33" s="713"/>
      <c r="ICD33" s="713"/>
      <c r="ICE33" s="713"/>
      <c r="ICF33" s="713"/>
      <c r="ICG33" s="713"/>
      <c r="ICH33" s="713"/>
      <c r="ICI33" s="713"/>
      <c r="ICJ33" s="713"/>
      <c r="ICK33" s="713"/>
      <c r="ICL33" s="713"/>
      <c r="ICM33" s="713"/>
      <c r="ICN33" s="713"/>
      <c r="ICO33" s="713"/>
      <c r="ICP33" s="713"/>
      <c r="ICQ33" s="713"/>
      <c r="ICR33" s="713"/>
      <c r="ICS33" s="713"/>
      <c r="ICT33" s="713"/>
      <c r="ICU33" s="713"/>
      <c r="ICV33" s="713"/>
      <c r="ICW33" s="713"/>
      <c r="ICX33" s="713"/>
      <c r="ICY33" s="713"/>
      <c r="ICZ33" s="713"/>
      <c r="IDA33" s="713"/>
      <c r="IDB33" s="713"/>
      <c r="IDC33" s="713"/>
      <c r="IDD33" s="713"/>
      <c r="IDE33" s="713"/>
      <c r="IDF33" s="713"/>
      <c r="IDG33" s="713"/>
      <c r="IDH33" s="713"/>
      <c r="IDI33" s="713"/>
      <c r="IDJ33" s="713"/>
      <c r="IDK33" s="713"/>
      <c r="IDL33" s="713"/>
      <c r="IDM33" s="713"/>
      <c r="IDN33" s="713"/>
      <c r="IDO33" s="713"/>
      <c r="IDP33" s="713"/>
      <c r="IDQ33" s="713"/>
      <c r="IDR33" s="713"/>
      <c r="IDS33" s="713"/>
      <c r="IDT33" s="713"/>
      <c r="IDU33" s="713"/>
      <c r="IDV33" s="713"/>
      <c r="IDW33" s="713"/>
      <c r="IDX33" s="713"/>
      <c r="IDY33" s="713"/>
      <c r="IDZ33" s="713"/>
      <c r="IEA33" s="713"/>
      <c r="IEB33" s="713"/>
      <c r="IEC33" s="713"/>
      <c r="IED33" s="713"/>
      <c r="IEE33" s="713"/>
      <c r="IEF33" s="713"/>
      <c r="IEG33" s="713"/>
      <c r="IEH33" s="713"/>
      <c r="IEI33" s="713"/>
      <c r="IEJ33" s="713"/>
      <c r="IEK33" s="713"/>
      <c r="IEL33" s="713"/>
      <c r="IEM33" s="713"/>
      <c r="IEN33" s="713"/>
      <c r="IEO33" s="713"/>
      <c r="IEP33" s="713"/>
      <c r="IEQ33" s="713"/>
      <c r="IER33" s="713"/>
      <c r="IES33" s="713"/>
      <c r="IET33" s="713"/>
      <c r="IEU33" s="713"/>
      <c r="IEV33" s="713"/>
      <c r="IEW33" s="713"/>
      <c r="IEX33" s="713"/>
      <c r="IEY33" s="713"/>
      <c r="IEZ33" s="713"/>
      <c r="IFA33" s="713"/>
      <c r="IFB33" s="713"/>
      <c r="IFC33" s="713"/>
      <c r="IFD33" s="713"/>
      <c r="IFE33" s="713"/>
      <c r="IFF33" s="713"/>
      <c r="IFG33" s="713"/>
      <c r="IFH33" s="713"/>
      <c r="IFI33" s="713"/>
      <c r="IFJ33" s="713"/>
      <c r="IFK33" s="713"/>
      <c r="IFL33" s="713"/>
      <c r="IFM33" s="713"/>
      <c r="IFN33" s="713"/>
      <c r="IFO33" s="713"/>
      <c r="IFP33" s="713"/>
      <c r="IFQ33" s="713"/>
      <c r="IFR33" s="713"/>
      <c r="IFS33" s="713"/>
      <c r="IFT33" s="713"/>
      <c r="IFU33" s="713"/>
      <c r="IFV33" s="713"/>
      <c r="IFW33" s="713"/>
      <c r="IFX33" s="713"/>
      <c r="IFY33" s="713"/>
      <c r="IFZ33" s="713"/>
      <c r="IGA33" s="713"/>
      <c r="IGB33" s="713"/>
      <c r="IGC33" s="713"/>
      <c r="IGD33" s="713"/>
      <c r="IGE33" s="713"/>
      <c r="IGF33" s="713"/>
      <c r="IGG33" s="713"/>
      <c r="IGH33" s="713"/>
      <c r="IGI33" s="713"/>
      <c r="IGJ33" s="713"/>
      <c r="IGK33" s="713"/>
      <c r="IGL33" s="713"/>
      <c r="IGM33" s="713"/>
      <c r="IGN33" s="713"/>
      <c r="IGO33" s="713"/>
      <c r="IGP33" s="713"/>
      <c r="IGQ33" s="713"/>
      <c r="IGR33" s="713"/>
      <c r="IGS33" s="713"/>
      <c r="IGT33" s="713"/>
      <c r="IGU33" s="713"/>
      <c r="IGV33" s="713"/>
      <c r="IGW33" s="713"/>
      <c r="IGX33" s="713"/>
      <c r="IGY33" s="713"/>
      <c r="IGZ33" s="713"/>
      <c r="IHA33" s="713"/>
      <c r="IHB33" s="713"/>
      <c r="IHC33" s="713"/>
      <c r="IHD33" s="713"/>
      <c r="IHE33" s="713"/>
      <c r="IHF33" s="713"/>
      <c r="IHG33" s="713"/>
      <c r="IHH33" s="713"/>
      <c r="IHI33" s="713"/>
      <c r="IHJ33" s="713"/>
      <c r="IHK33" s="713"/>
      <c r="IHL33" s="713"/>
      <c r="IHM33" s="713"/>
      <c r="IHN33" s="713"/>
      <c r="IHO33" s="713"/>
      <c r="IHP33" s="713"/>
      <c r="IHQ33" s="713"/>
      <c r="IHR33" s="713"/>
      <c r="IHS33" s="713"/>
      <c r="IHT33" s="713"/>
      <c r="IHU33" s="713"/>
      <c r="IHV33" s="713"/>
      <c r="IHW33" s="713"/>
      <c r="IHX33" s="713"/>
      <c r="IHY33" s="713"/>
      <c r="IHZ33" s="713"/>
      <c r="IIA33" s="713"/>
      <c r="IIB33" s="713"/>
      <c r="IIC33" s="713"/>
      <c r="IID33" s="713"/>
      <c r="IIE33" s="713"/>
      <c r="IIF33" s="713"/>
      <c r="IIG33" s="713"/>
      <c r="IIH33" s="713"/>
      <c r="III33" s="713"/>
      <c r="IIJ33" s="713"/>
      <c r="IIK33" s="713"/>
      <c r="IIL33" s="713"/>
      <c r="IIM33" s="713"/>
      <c r="IIN33" s="713"/>
      <c r="IIO33" s="713"/>
      <c r="IIP33" s="713"/>
      <c r="IIQ33" s="713"/>
      <c r="IIR33" s="713"/>
      <c r="IIS33" s="713"/>
      <c r="IIT33" s="713"/>
      <c r="IIU33" s="713"/>
      <c r="IIV33" s="713"/>
      <c r="IIW33" s="713"/>
      <c r="IIX33" s="713"/>
      <c r="IIY33" s="713"/>
      <c r="IIZ33" s="713"/>
      <c r="IJA33" s="713"/>
      <c r="IJB33" s="713"/>
      <c r="IJC33" s="713"/>
      <c r="IJD33" s="713"/>
      <c r="IJE33" s="713"/>
      <c r="IJF33" s="713"/>
      <c r="IJG33" s="713"/>
      <c r="IJH33" s="713"/>
      <c r="IJI33" s="713"/>
      <c r="IJJ33" s="713"/>
      <c r="IJK33" s="713"/>
      <c r="IJL33" s="713"/>
      <c r="IJM33" s="713"/>
      <c r="IJN33" s="713"/>
      <c r="IJO33" s="713"/>
      <c r="IJP33" s="713"/>
      <c r="IJQ33" s="713"/>
      <c r="IJR33" s="713"/>
      <c r="IJS33" s="713"/>
      <c r="IJT33" s="713"/>
      <c r="IJU33" s="713"/>
      <c r="IJV33" s="713"/>
      <c r="IJW33" s="713"/>
      <c r="IJX33" s="713"/>
      <c r="IJY33" s="713"/>
      <c r="IJZ33" s="713"/>
      <c r="IKA33" s="713"/>
      <c r="IKB33" s="713"/>
      <c r="IKC33" s="713"/>
      <c r="IKD33" s="713"/>
      <c r="IKE33" s="713"/>
      <c r="IKF33" s="713"/>
      <c r="IKG33" s="713"/>
      <c r="IKH33" s="713"/>
      <c r="IKI33" s="713"/>
      <c r="IKJ33" s="713"/>
      <c r="IKK33" s="713"/>
      <c r="IKL33" s="713"/>
      <c r="IKM33" s="713"/>
      <c r="IKN33" s="713"/>
      <c r="IKO33" s="713"/>
      <c r="IKP33" s="713"/>
      <c r="IKQ33" s="713"/>
      <c r="IKR33" s="713"/>
      <c r="IKS33" s="713"/>
      <c r="IKT33" s="713"/>
      <c r="IKU33" s="713"/>
      <c r="IKV33" s="713"/>
      <c r="IKW33" s="713"/>
      <c r="IKX33" s="713"/>
      <c r="IKY33" s="713"/>
      <c r="IKZ33" s="713"/>
      <c r="ILA33" s="713"/>
      <c r="ILB33" s="713"/>
      <c r="ILC33" s="713"/>
      <c r="ILD33" s="713"/>
      <c r="ILE33" s="713"/>
      <c r="ILF33" s="713"/>
      <c r="ILG33" s="713"/>
      <c r="ILH33" s="713"/>
      <c r="ILI33" s="713"/>
      <c r="ILJ33" s="713"/>
      <c r="ILK33" s="713"/>
      <c r="ILL33" s="713"/>
      <c r="ILM33" s="713"/>
      <c r="ILN33" s="713"/>
      <c r="ILO33" s="713"/>
      <c r="ILP33" s="713"/>
      <c r="ILQ33" s="713"/>
      <c r="ILR33" s="713"/>
      <c r="ILS33" s="713"/>
      <c r="ILT33" s="713"/>
      <c r="ILU33" s="713"/>
      <c r="ILV33" s="713"/>
      <c r="ILW33" s="713"/>
      <c r="ILX33" s="713"/>
      <c r="ILY33" s="713"/>
      <c r="ILZ33" s="713"/>
      <c r="IMA33" s="713"/>
      <c r="IMB33" s="713"/>
      <c r="IMC33" s="713"/>
      <c r="IMD33" s="713"/>
      <c r="IME33" s="713"/>
      <c r="IMF33" s="713"/>
      <c r="IMG33" s="713"/>
      <c r="IMH33" s="713"/>
      <c r="IMI33" s="713"/>
      <c r="IMJ33" s="713"/>
      <c r="IMK33" s="713"/>
      <c r="IML33" s="713"/>
      <c r="IMM33" s="713"/>
      <c r="IMN33" s="713"/>
      <c r="IMO33" s="713"/>
      <c r="IMP33" s="713"/>
      <c r="IMQ33" s="713"/>
      <c r="IMR33" s="713"/>
      <c r="IMS33" s="713"/>
      <c r="IMT33" s="713"/>
      <c r="IMU33" s="713"/>
      <c r="IMV33" s="713"/>
      <c r="IMW33" s="713"/>
      <c r="IMX33" s="713"/>
      <c r="IMY33" s="713"/>
      <c r="IMZ33" s="713"/>
      <c r="INA33" s="713"/>
      <c r="INB33" s="713"/>
      <c r="INC33" s="713"/>
      <c r="IND33" s="713"/>
      <c r="INE33" s="713"/>
      <c r="INF33" s="713"/>
      <c r="ING33" s="713"/>
      <c r="INH33" s="713"/>
      <c r="INI33" s="713"/>
      <c r="INJ33" s="713"/>
      <c r="INK33" s="713"/>
      <c r="INL33" s="713"/>
      <c r="INM33" s="713"/>
      <c r="INN33" s="713"/>
      <c r="INO33" s="713"/>
      <c r="INP33" s="713"/>
      <c r="INQ33" s="713"/>
      <c r="INR33" s="713"/>
      <c r="INS33" s="713"/>
      <c r="INT33" s="713"/>
      <c r="INU33" s="713"/>
      <c r="INV33" s="713"/>
      <c r="INW33" s="713"/>
      <c r="INX33" s="713"/>
      <c r="INY33" s="713"/>
      <c r="INZ33" s="713"/>
      <c r="IOA33" s="713"/>
      <c r="IOB33" s="713"/>
      <c r="IOC33" s="713"/>
      <c r="IOD33" s="713"/>
      <c r="IOE33" s="713"/>
      <c r="IOF33" s="713"/>
      <c r="IOG33" s="713"/>
      <c r="IOH33" s="713"/>
      <c r="IOI33" s="713"/>
      <c r="IOJ33" s="713"/>
      <c r="IOK33" s="713"/>
      <c r="IOL33" s="713"/>
      <c r="IOM33" s="713"/>
      <c r="ION33" s="713"/>
      <c r="IOO33" s="713"/>
      <c r="IOP33" s="713"/>
      <c r="IOQ33" s="713"/>
      <c r="IOR33" s="713"/>
      <c r="IOS33" s="713"/>
      <c r="IOT33" s="713"/>
      <c r="IOU33" s="713"/>
      <c r="IOV33" s="713"/>
      <c r="IOW33" s="713"/>
      <c r="IOX33" s="713"/>
      <c r="IOY33" s="713"/>
      <c r="IOZ33" s="713"/>
      <c r="IPA33" s="713"/>
      <c r="IPB33" s="713"/>
      <c r="IPC33" s="713"/>
      <c r="IPD33" s="713"/>
      <c r="IPE33" s="713"/>
      <c r="IPF33" s="713"/>
      <c r="IPG33" s="713"/>
      <c r="IPH33" s="713"/>
      <c r="IPI33" s="713"/>
      <c r="IPJ33" s="713"/>
      <c r="IPK33" s="713"/>
      <c r="IPL33" s="713"/>
      <c r="IPM33" s="713"/>
      <c r="IPN33" s="713"/>
      <c r="IPO33" s="713"/>
      <c r="IPP33" s="713"/>
      <c r="IPQ33" s="713"/>
      <c r="IPR33" s="713"/>
      <c r="IPS33" s="713"/>
      <c r="IPT33" s="713"/>
      <c r="IPU33" s="713"/>
      <c r="IPV33" s="713"/>
      <c r="IPW33" s="713"/>
      <c r="IPX33" s="713"/>
      <c r="IPY33" s="713"/>
      <c r="IPZ33" s="713"/>
      <c r="IQA33" s="713"/>
      <c r="IQB33" s="713"/>
      <c r="IQC33" s="713"/>
      <c r="IQD33" s="713"/>
      <c r="IQE33" s="713"/>
      <c r="IQF33" s="713"/>
      <c r="IQG33" s="713"/>
      <c r="IQH33" s="713"/>
      <c r="IQI33" s="713"/>
      <c r="IQJ33" s="713"/>
      <c r="IQK33" s="713"/>
      <c r="IQL33" s="713"/>
      <c r="IQM33" s="713"/>
      <c r="IQN33" s="713"/>
      <c r="IQO33" s="713"/>
      <c r="IQP33" s="713"/>
      <c r="IQQ33" s="713"/>
      <c r="IQR33" s="713"/>
      <c r="IQS33" s="713"/>
      <c r="IQT33" s="713"/>
      <c r="IQU33" s="713"/>
      <c r="IQV33" s="713"/>
      <c r="IQW33" s="713"/>
      <c r="IQX33" s="713"/>
      <c r="IQY33" s="713"/>
      <c r="IQZ33" s="713"/>
      <c r="IRA33" s="713"/>
      <c r="IRB33" s="713"/>
      <c r="IRC33" s="713"/>
      <c r="IRD33" s="713"/>
      <c r="IRE33" s="713"/>
      <c r="IRF33" s="713"/>
      <c r="IRG33" s="713"/>
      <c r="IRH33" s="713"/>
      <c r="IRI33" s="713"/>
      <c r="IRJ33" s="713"/>
      <c r="IRK33" s="713"/>
      <c r="IRL33" s="713"/>
      <c r="IRM33" s="713"/>
      <c r="IRN33" s="713"/>
      <c r="IRO33" s="713"/>
      <c r="IRP33" s="713"/>
      <c r="IRQ33" s="713"/>
      <c r="IRR33" s="713"/>
      <c r="IRS33" s="713"/>
      <c r="IRT33" s="713"/>
      <c r="IRU33" s="713"/>
      <c r="IRV33" s="713"/>
      <c r="IRW33" s="713"/>
      <c r="IRX33" s="713"/>
      <c r="IRY33" s="713"/>
      <c r="IRZ33" s="713"/>
      <c r="ISA33" s="713"/>
      <c r="ISB33" s="713"/>
      <c r="ISC33" s="713"/>
      <c r="ISD33" s="713"/>
      <c r="ISE33" s="713"/>
      <c r="ISF33" s="713"/>
      <c r="ISG33" s="713"/>
      <c r="ISH33" s="713"/>
      <c r="ISI33" s="713"/>
      <c r="ISJ33" s="713"/>
      <c r="ISK33" s="713"/>
      <c r="ISL33" s="713"/>
      <c r="ISM33" s="713"/>
      <c r="ISN33" s="713"/>
      <c r="ISO33" s="713"/>
      <c r="ISP33" s="713"/>
      <c r="ISQ33" s="713"/>
      <c r="ISR33" s="713"/>
      <c r="ISS33" s="713"/>
      <c r="IST33" s="713"/>
      <c r="ISU33" s="713"/>
      <c r="ISV33" s="713"/>
      <c r="ISW33" s="713"/>
      <c r="ISX33" s="713"/>
      <c r="ISY33" s="713"/>
      <c r="ISZ33" s="713"/>
      <c r="ITA33" s="713"/>
      <c r="ITB33" s="713"/>
      <c r="ITC33" s="713"/>
      <c r="ITD33" s="713"/>
      <c r="ITE33" s="713"/>
      <c r="ITF33" s="713"/>
      <c r="ITG33" s="713"/>
      <c r="ITH33" s="713"/>
      <c r="ITI33" s="713"/>
      <c r="ITJ33" s="713"/>
      <c r="ITK33" s="713"/>
      <c r="ITL33" s="713"/>
      <c r="ITM33" s="713"/>
      <c r="ITN33" s="713"/>
      <c r="ITO33" s="713"/>
      <c r="ITP33" s="713"/>
      <c r="ITQ33" s="713"/>
      <c r="ITR33" s="713"/>
      <c r="ITS33" s="713"/>
      <c r="ITT33" s="713"/>
      <c r="ITU33" s="713"/>
      <c r="ITV33" s="713"/>
      <c r="ITW33" s="713"/>
      <c r="ITX33" s="713"/>
      <c r="ITY33" s="713"/>
      <c r="ITZ33" s="713"/>
      <c r="IUA33" s="713"/>
      <c r="IUB33" s="713"/>
      <c r="IUC33" s="713"/>
      <c r="IUD33" s="713"/>
      <c r="IUE33" s="713"/>
      <c r="IUF33" s="713"/>
      <c r="IUG33" s="713"/>
      <c r="IUH33" s="713"/>
      <c r="IUI33" s="713"/>
      <c r="IUJ33" s="713"/>
      <c r="IUK33" s="713"/>
      <c r="IUL33" s="713"/>
      <c r="IUM33" s="713"/>
      <c r="IUN33" s="713"/>
      <c r="IUO33" s="713"/>
      <c r="IUP33" s="713"/>
      <c r="IUQ33" s="713"/>
      <c r="IUR33" s="713"/>
      <c r="IUS33" s="713"/>
      <c r="IUT33" s="713"/>
      <c r="IUU33" s="713"/>
      <c r="IUV33" s="713"/>
      <c r="IUW33" s="713"/>
      <c r="IUX33" s="713"/>
      <c r="IUY33" s="713"/>
      <c r="IUZ33" s="713"/>
      <c r="IVA33" s="713"/>
      <c r="IVB33" s="713"/>
      <c r="IVC33" s="713"/>
      <c r="IVD33" s="713"/>
      <c r="IVE33" s="713"/>
      <c r="IVF33" s="713"/>
      <c r="IVG33" s="713"/>
      <c r="IVH33" s="713"/>
      <c r="IVI33" s="713"/>
      <c r="IVJ33" s="713"/>
      <c r="IVK33" s="713"/>
      <c r="IVL33" s="713"/>
      <c r="IVM33" s="713"/>
      <c r="IVN33" s="713"/>
      <c r="IVO33" s="713"/>
      <c r="IVP33" s="713"/>
      <c r="IVQ33" s="713"/>
      <c r="IVR33" s="713"/>
      <c r="IVS33" s="713"/>
      <c r="IVT33" s="713"/>
      <c r="IVU33" s="713"/>
      <c r="IVV33" s="713"/>
      <c r="IVW33" s="713"/>
      <c r="IVX33" s="713"/>
      <c r="IVY33" s="713"/>
      <c r="IVZ33" s="713"/>
      <c r="IWA33" s="713"/>
      <c r="IWB33" s="713"/>
      <c r="IWC33" s="713"/>
      <c r="IWD33" s="713"/>
      <c r="IWE33" s="713"/>
      <c r="IWF33" s="713"/>
      <c r="IWG33" s="713"/>
      <c r="IWH33" s="713"/>
      <c r="IWI33" s="713"/>
      <c r="IWJ33" s="713"/>
      <c r="IWK33" s="713"/>
      <c r="IWL33" s="713"/>
      <c r="IWM33" s="713"/>
      <c r="IWN33" s="713"/>
      <c r="IWO33" s="713"/>
      <c r="IWP33" s="713"/>
      <c r="IWQ33" s="713"/>
      <c r="IWR33" s="713"/>
      <c r="IWS33" s="713"/>
      <c r="IWT33" s="713"/>
      <c r="IWU33" s="713"/>
      <c r="IWV33" s="713"/>
      <c r="IWW33" s="713"/>
      <c r="IWX33" s="713"/>
      <c r="IWY33" s="713"/>
      <c r="IWZ33" s="713"/>
      <c r="IXA33" s="713"/>
      <c r="IXB33" s="713"/>
      <c r="IXC33" s="713"/>
      <c r="IXD33" s="713"/>
      <c r="IXE33" s="713"/>
      <c r="IXF33" s="713"/>
      <c r="IXG33" s="713"/>
      <c r="IXH33" s="713"/>
      <c r="IXI33" s="713"/>
      <c r="IXJ33" s="713"/>
      <c r="IXK33" s="713"/>
      <c r="IXL33" s="713"/>
      <c r="IXM33" s="713"/>
      <c r="IXN33" s="713"/>
      <c r="IXO33" s="713"/>
      <c r="IXP33" s="713"/>
      <c r="IXQ33" s="713"/>
      <c r="IXR33" s="713"/>
      <c r="IXS33" s="713"/>
      <c r="IXT33" s="713"/>
      <c r="IXU33" s="713"/>
      <c r="IXV33" s="713"/>
      <c r="IXW33" s="713"/>
      <c r="IXX33" s="713"/>
      <c r="IXY33" s="713"/>
      <c r="IXZ33" s="713"/>
      <c r="IYA33" s="713"/>
      <c r="IYB33" s="713"/>
      <c r="IYC33" s="713"/>
      <c r="IYD33" s="713"/>
      <c r="IYE33" s="713"/>
      <c r="IYF33" s="713"/>
      <c r="IYG33" s="713"/>
      <c r="IYH33" s="713"/>
      <c r="IYI33" s="713"/>
      <c r="IYJ33" s="713"/>
      <c r="IYK33" s="713"/>
      <c r="IYL33" s="713"/>
      <c r="IYM33" s="713"/>
      <c r="IYN33" s="713"/>
      <c r="IYO33" s="713"/>
      <c r="IYP33" s="713"/>
      <c r="IYQ33" s="713"/>
      <c r="IYR33" s="713"/>
      <c r="IYS33" s="713"/>
      <c r="IYT33" s="713"/>
      <c r="IYU33" s="713"/>
      <c r="IYV33" s="713"/>
      <c r="IYW33" s="713"/>
      <c r="IYX33" s="713"/>
      <c r="IYY33" s="713"/>
      <c r="IYZ33" s="713"/>
      <c r="IZA33" s="713"/>
      <c r="IZB33" s="713"/>
      <c r="IZC33" s="713"/>
      <c r="IZD33" s="713"/>
      <c r="IZE33" s="713"/>
      <c r="IZF33" s="713"/>
      <c r="IZG33" s="713"/>
      <c r="IZH33" s="713"/>
      <c r="IZI33" s="713"/>
      <c r="IZJ33" s="713"/>
      <c r="IZK33" s="713"/>
      <c r="IZL33" s="713"/>
      <c r="IZM33" s="713"/>
      <c r="IZN33" s="713"/>
      <c r="IZO33" s="713"/>
      <c r="IZP33" s="713"/>
      <c r="IZQ33" s="713"/>
      <c r="IZR33" s="713"/>
      <c r="IZS33" s="713"/>
      <c r="IZT33" s="713"/>
      <c r="IZU33" s="713"/>
      <c r="IZV33" s="713"/>
      <c r="IZW33" s="713"/>
      <c r="IZX33" s="713"/>
      <c r="IZY33" s="713"/>
      <c r="IZZ33" s="713"/>
      <c r="JAA33" s="713"/>
      <c r="JAB33" s="713"/>
      <c r="JAC33" s="713"/>
      <c r="JAD33" s="713"/>
      <c r="JAE33" s="713"/>
      <c r="JAF33" s="713"/>
      <c r="JAG33" s="713"/>
      <c r="JAH33" s="713"/>
      <c r="JAI33" s="713"/>
      <c r="JAJ33" s="713"/>
      <c r="JAK33" s="713"/>
      <c r="JAL33" s="713"/>
      <c r="JAM33" s="713"/>
      <c r="JAN33" s="713"/>
      <c r="JAO33" s="713"/>
      <c r="JAP33" s="713"/>
      <c r="JAQ33" s="713"/>
      <c r="JAR33" s="713"/>
      <c r="JAS33" s="713"/>
      <c r="JAT33" s="713"/>
      <c r="JAU33" s="713"/>
      <c r="JAV33" s="713"/>
      <c r="JAW33" s="713"/>
      <c r="JAX33" s="713"/>
      <c r="JAY33" s="713"/>
      <c r="JAZ33" s="713"/>
      <c r="JBA33" s="713"/>
      <c r="JBB33" s="713"/>
      <c r="JBC33" s="713"/>
      <c r="JBD33" s="713"/>
      <c r="JBE33" s="713"/>
      <c r="JBF33" s="713"/>
      <c r="JBG33" s="713"/>
      <c r="JBH33" s="713"/>
      <c r="JBI33" s="713"/>
      <c r="JBJ33" s="713"/>
      <c r="JBK33" s="713"/>
      <c r="JBL33" s="713"/>
      <c r="JBM33" s="713"/>
      <c r="JBN33" s="713"/>
      <c r="JBO33" s="713"/>
      <c r="JBP33" s="713"/>
      <c r="JBQ33" s="713"/>
      <c r="JBR33" s="713"/>
      <c r="JBS33" s="713"/>
      <c r="JBT33" s="713"/>
      <c r="JBU33" s="713"/>
      <c r="JBV33" s="713"/>
      <c r="JBW33" s="713"/>
      <c r="JBX33" s="713"/>
      <c r="JBY33" s="713"/>
      <c r="JBZ33" s="713"/>
      <c r="JCA33" s="713"/>
      <c r="JCB33" s="713"/>
      <c r="JCC33" s="713"/>
      <c r="JCD33" s="713"/>
      <c r="JCE33" s="713"/>
      <c r="JCF33" s="713"/>
      <c r="JCG33" s="713"/>
      <c r="JCH33" s="713"/>
      <c r="JCI33" s="713"/>
      <c r="JCJ33" s="713"/>
      <c r="JCK33" s="713"/>
      <c r="JCL33" s="713"/>
      <c r="JCM33" s="713"/>
      <c r="JCN33" s="713"/>
      <c r="JCO33" s="713"/>
      <c r="JCP33" s="713"/>
      <c r="JCQ33" s="713"/>
      <c r="JCR33" s="713"/>
      <c r="JCS33" s="713"/>
      <c r="JCT33" s="713"/>
      <c r="JCU33" s="713"/>
      <c r="JCV33" s="713"/>
      <c r="JCW33" s="713"/>
      <c r="JCX33" s="713"/>
      <c r="JCY33" s="713"/>
      <c r="JCZ33" s="713"/>
      <c r="JDA33" s="713"/>
      <c r="JDB33" s="713"/>
      <c r="JDC33" s="713"/>
      <c r="JDD33" s="713"/>
      <c r="JDE33" s="713"/>
      <c r="JDF33" s="713"/>
      <c r="JDG33" s="713"/>
      <c r="JDH33" s="713"/>
      <c r="JDI33" s="713"/>
      <c r="JDJ33" s="713"/>
      <c r="JDK33" s="713"/>
      <c r="JDL33" s="713"/>
      <c r="JDM33" s="713"/>
      <c r="JDN33" s="713"/>
      <c r="JDO33" s="713"/>
      <c r="JDP33" s="713"/>
      <c r="JDQ33" s="713"/>
      <c r="JDR33" s="713"/>
      <c r="JDS33" s="713"/>
      <c r="JDT33" s="713"/>
      <c r="JDU33" s="713"/>
      <c r="JDV33" s="713"/>
      <c r="JDW33" s="713"/>
      <c r="JDX33" s="713"/>
      <c r="JDY33" s="713"/>
      <c r="JDZ33" s="713"/>
      <c r="JEA33" s="713"/>
      <c r="JEB33" s="713"/>
      <c r="JEC33" s="713"/>
      <c r="JED33" s="713"/>
      <c r="JEE33" s="713"/>
      <c r="JEF33" s="713"/>
      <c r="JEG33" s="713"/>
      <c r="JEH33" s="713"/>
      <c r="JEI33" s="713"/>
      <c r="JEJ33" s="713"/>
      <c r="JEK33" s="713"/>
      <c r="JEL33" s="713"/>
      <c r="JEM33" s="713"/>
      <c r="JEN33" s="713"/>
      <c r="JEO33" s="713"/>
      <c r="JEP33" s="713"/>
      <c r="JEQ33" s="713"/>
      <c r="JER33" s="713"/>
      <c r="JES33" s="713"/>
      <c r="JET33" s="713"/>
      <c r="JEU33" s="713"/>
      <c r="JEV33" s="713"/>
      <c r="JEW33" s="713"/>
      <c r="JEX33" s="713"/>
      <c r="JEY33" s="713"/>
      <c r="JEZ33" s="713"/>
      <c r="JFA33" s="713"/>
      <c r="JFB33" s="713"/>
      <c r="JFC33" s="713"/>
      <c r="JFD33" s="713"/>
      <c r="JFE33" s="713"/>
      <c r="JFF33" s="713"/>
      <c r="JFG33" s="713"/>
      <c r="JFH33" s="713"/>
      <c r="JFI33" s="713"/>
      <c r="JFJ33" s="713"/>
      <c r="JFK33" s="713"/>
      <c r="JFL33" s="713"/>
      <c r="JFM33" s="713"/>
      <c r="JFN33" s="713"/>
      <c r="JFO33" s="713"/>
      <c r="JFP33" s="713"/>
      <c r="JFQ33" s="713"/>
      <c r="JFR33" s="713"/>
      <c r="JFS33" s="713"/>
      <c r="JFT33" s="713"/>
      <c r="JFU33" s="713"/>
      <c r="JFV33" s="713"/>
      <c r="JFW33" s="713"/>
      <c r="JFX33" s="713"/>
      <c r="JFY33" s="713"/>
      <c r="JFZ33" s="713"/>
      <c r="JGA33" s="713"/>
      <c r="JGB33" s="713"/>
      <c r="JGC33" s="713"/>
      <c r="JGD33" s="713"/>
      <c r="JGE33" s="713"/>
      <c r="JGF33" s="713"/>
      <c r="JGG33" s="713"/>
      <c r="JGH33" s="713"/>
      <c r="JGI33" s="713"/>
      <c r="JGJ33" s="713"/>
      <c r="JGK33" s="713"/>
      <c r="JGL33" s="713"/>
      <c r="JGM33" s="713"/>
      <c r="JGN33" s="713"/>
      <c r="JGO33" s="713"/>
      <c r="JGP33" s="713"/>
      <c r="JGQ33" s="713"/>
      <c r="JGR33" s="713"/>
      <c r="JGS33" s="713"/>
      <c r="JGT33" s="713"/>
      <c r="JGU33" s="713"/>
      <c r="JGV33" s="713"/>
      <c r="JGW33" s="713"/>
      <c r="JGX33" s="713"/>
      <c r="JGY33" s="713"/>
      <c r="JGZ33" s="713"/>
      <c r="JHA33" s="713"/>
      <c r="JHB33" s="713"/>
      <c r="JHC33" s="713"/>
      <c r="JHD33" s="713"/>
      <c r="JHE33" s="713"/>
      <c r="JHF33" s="713"/>
      <c r="JHG33" s="713"/>
      <c r="JHH33" s="713"/>
      <c r="JHI33" s="713"/>
      <c r="JHJ33" s="713"/>
      <c r="JHK33" s="713"/>
      <c r="JHL33" s="713"/>
      <c r="JHM33" s="713"/>
      <c r="JHN33" s="713"/>
      <c r="JHO33" s="713"/>
      <c r="JHP33" s="713"/>
      <c r="JHQ33" s="713"/>
      <c r="JHR33" s="713"/>
      <c r="JHS33" s="713"/>
      <c r="JHT33" s="713"/>
      <c r="JHU33" s="713"/>
      <c r="JHV33" s="713"/>
      <c r="JHW33" s="713"/>
      <c r="JHX33" s="713"/>
      <c r="JHY33" s="713"/>
      <c r="JHZ33" s="713"/>
      <c r="JIA33" s="713"/>
      <c r="JIB33" s="713"/>
      <c r="JIC33" s="713"/>
      <c r="JID33" s="713"/>
      <c r="JIE33" s="713"/>
      <c r="JIF33" s="713"/>
      <c r="JIG33" s="713"/>
      <c r="JIH33" s="713"/>
      <c r="JII33" s="713"/>
      <c r="JIJ33" s="713"/>
      <c r="JIK33" s="713"/>
      <c r="JIL33" s="713"/>
      <c r="JIM33" s="713"/>
      <c r="JIN33" s="713"/>
      <c r="JIO33" s="713"/>
      <c r="JIP33" s="713"/>
      <c r="JIQ33" s="713"/>
      <c r="JIR33" s="713"/>
      <c r="JIS33" s="713"/>
      <c r="JIT33" s="713"/>
      <c r="JIU33" s="713"/>
      <c r="JIV33" s="713"/>
      <c r="JIW33" s="713"/>
      <c r="JIX33" s="713"/>
      <c r="JIY33" s="713"/>
      <c r="JIZ33" s="713"/>
      <c r="JJA33" s="713"/>
      <c r="JJB33" s="713"/>
      <c r="JJC33" s="713"/>
      <c r="JJD33" s="713"/>
      <c r="JJE33" s="713"/>
      <c r="JJF33" s="713"/>
      <c r="JJG33" s="713"/>
      <c r="JJH33" s="713"/>
      <c r="JJI33" s="713"/>
      <c r="JJJ33" s="713"/>
      <c r="JJK33" s="713"/>
      <c r="JJL33" s="713"/>
      <c r="JJM33" s="713"/>
      <c r="JJN33" s="713"/>
      <c r="JJO33" s="713"/>
      <c r="JJP33" s="713"/>
      <c r="JJQ33" s="713"/>
      <c r="JJR33" s="713"/>
      <c r="JJS33" s="713"/>
      <c r="JJT33" s="713"/>
      <c r="JJU33" s="713"/>
      <c r="JJV33" s="713"/>
      <c r="JJW33" s="713"/>
      <c r="JJX33" s="713"/>
      <c r="JJY33" s="713"/>
      <c r="JJZ33" s="713"/>
      <c r="JKA33" s="713"/>
      <c r="JKB33" s="713"/>
      <c r="JKC33" s="713"/>
      <c r="JKD33" s="713"/>
      <c r="JKE33" s="713"/>
      <c r="JKF33" s="713"/>
      <c r="JKG33" s="713"/>
      <c r="JKH33" s="713"/>
      <c r="JKI33" s="713"/>
      <c r="JKJ33" s="713"/>
      <c r="JKK33" s="713"/>
      <c r="JKL33" s="713"/>
      <c r="JKM33" s="713"/>
      <c r="JKN33" s="713"/>
      <c r="JKO33" s="713"/>
      <c r="JKP33" s="713"/>
      <c r="JKQ33" s="713"/>
      <c r="JKR33" s="713"/>
      <c r="JKS33" s="713"/>
      <c r="JKT33" s="713"/>
      <c r="JKU33" s="713"/>
      <c r="JKV33" s="713"/>
      <c r="JKW33" s="713"/>
      <c r="JKX33" s="713"/>
      <c r="JKY33" s="713"/>
      <c r="JKZ33" s="713"/>
      <c r="JLA33" s="713"/>
      <c r="JLB33" s="713"/>
      <c r="JLC33" s="713"/>
      <c r="JLD33" s="713"/>
      <c r="JLE33" s="713"/>
      <c r="JLF33" s="713"/>
      <c r="JLG33" s="713"/>
      <c r="JLH33" s="713"/>
      <c r="JLI33" s="713"/>
      <c r="JLJ33" s="713"/>
      <c r="JLK33" s="713"/>
      <c r="JLL33" s="713"/>
      <c r="JLM33" s="713"/>
      <c r="JLN33" s="713"/>
      <c r="JLO33" s="713"/>
      <c r="JLP33" s="713"/>
      <c r="JLQ33" s="713"/>
      <c r="JLR33" s="713"/>
      <c r="JLS33" s="713"/>
      <c r="JLT33" s="713"/>
      <c r="JLU33" s="713"/>
      <c r="JLV33" s="713"/>
      <c r="JLW33" s="713"/>
      <c r="JLX33" s="713"/>
      <c r="JLY33" s="713"/>
      <c r="JLZ33" s="713"/>
      <c r="JMA33" s="713"/>
      <c r="JMB33" s="713"/>
      <c r="JMC33" s="713"/>
      <c r="JMD33" s="713"/>
      <c r="JME33" s="713"/>
      <c r="JMF33" s="713"/>
      <c r="JMG33" s="713"/>
      <c r="JMH33" s="713"/>
      <c r="JMI33" s="713"/>
      <c r="JMJ33" s="713"/>
      <c r="JMK33" s="713"/>
      <c r="JML33" s="713"/>
      <c r="JMM33" s="713"/>
      <c r="JMN33" s="713"/>
      <c r="JMO33" s="713"/>
      <c r="JMP33" s="713"/>
      <c r="JMQ33" s="713"/>
      <c r="JMR33" s="713"/>
      <c r="JMS33" s="713"/>
      <c r="JMT33" s="713"/>
      <c r="JMU33" s="713"/>
      <c r="JMV33" s="713"/>
      <c r="JMW33" s="713"/>
      <c r="JMX33" s="713"/>
      <c r="JMY33" s="713"/>
      <c r="JMZ33" s="713"/>
      <c r="JNA33" s="713"/>
      <c r="JNB33" s="713"/>
      <c r="JNC33" s="713"/>
      <c r="JND33" s="713"/>
      <c r="JNE33" s="713"/>
      <c r="JNF33" s="713"/>
      <c r="JNG33" s="713"/>
      <c r="JNH33" s="713"/>
      <c r="JNI33" s="713"/>
      <c r="JNJ33" s="713"/>
      <c r="JNK33" s="713"/>
      <c r="JNL33" s="713"/>
      <c r="JNM33" s="713"/>
      <c r="JNN33" s="713"/>
      <c r="JNO33" s="713"/>
      <c r="JNP33" s="713"/>
      <c r="JNQ33" s="713"/>
      <c r="JNR33" s="713"/>
      <c r="JNS33" s="713"/>
      <c r="JNT33" s="713"/>
      <c r="JNU33" s="713"/>
      <c r="JNV33" s="713"/>
      <c r="JNW33" s="713"/>
      <c r="JNX33" s="713"/>
      <c r="JNY33" s="713"/>
      <c r="JNZ33" s="713"/>
      <c r="JOA33" s="713"/>
      <c r="JOB33" s="713"/>
      <c r="JOC33" s="713"/>
      <c r="JOD33" s="713"/>
      <c r="JOE33" s="713"/>
      <c r="JOF33" s="713"/>
      <c r="JOG33" s="713"/>
      <c r="JOH33" s="713"/>
      <c r="JOI33" s="713"/>
      <c r="JOJ33" s="713"/>
      <c r="JOK33" s="713"/>
      <c r="JOL33" s="713"/>
      <c r="JOM33" s="713"/>
      <c r="JON33" s="713"/>
      <c r="JOO33" s="713"/>
      <c r="JOP33" s="713"/>
      <c r="JOQ33" s="713"/>
      <c r="JOR33" s="713"/>
      <c r="JOS33" s="713"/>
      <c r="JOT33" s="713"/>
      <c r="JOU33" s="713"/>
      <c r="JOV33" s="713"/>
      <c r="JOW33" s="713"/>
      <c r="JOX33" s="713"/>
      <c r="JOY33" s="713"/>
      <c r="JOZ33" s="713"/>
      <c r="JPA33" s="713"/>
      <c r="JPB33" s="713"/>
      <c r="JPC33" s="713"/>
      <c r="JPD33" s="713"/>
      <c r="JPE33" s="713"/>
      <c r="JPF33" s="713"/>
      <c r="JPG33" s="713"/>
      <c r="JPH33" s="713"/>
      <c r="JPI33" s="713"/>
      <c r="JPJ33" s="713"/>
      <c r="JPK33" s="713"/>
      <c r="JPL33" s="713"/>
      <c r="JPM33" s="713"/>
      <c r="JPN33" s="713"/>
      <c r="JPO33" s="713"/>
      <c r="JPP33" s="713"/>
      <c r="JPQ33" s="713"/>
      <c r="JPR33" s="713"/>
      <c r="JPS33" s="713"/>
      <c r="JPT33" s="713"/>
      <c r="JPU33" s="713"/>
      <c r="JPV33" s="713"/>
      <c r="JPW33" s="713"/>
      <c r="JPX33" s="713"/>
      <c r="JPY33" s="713"/>
      <c r="JPZ33" s="713"/>
      <c r="JQA33" s="713"/>
      <c r="JQB33" s="713"/>
      <c r="JQC33" s="713"/>
      <c r="JQD33" s="713"/>
      <c r="JQE33" s="713"/>
      <c r="JQF33" s="713"/>
      <c r="JQG33" s="713"/>
      <c r="JQH33" s="713"/>
      <c r="JQI33" s="713"/>
      <c r="JQJ33" s="713"/>
      <c r="JQK33" s="713"/>
      <c r="JQL33" s="713"/>
      <c r="JQM33" s="713"/>
      <c r="JQN33" s="713"/>
      <c r="JQO33" s="713"/>
      <c r="JQP33" s="713"/>
      <c r="JQQ33" s="713"/>
      <c r="JQR33" s="713"/>
      <c r="JQS33" s="713"/>
      <c r="JQT33" s="713"/>
      <c r="JQU33" s="713"/>
      <c r="JQV33" s="713"/>
      <c r="JQW33" s="713"/>
      <c r="JQX33" s="713"/>
      <c r="JQY33" s="713"/>
      <c r="JQZ33" s="713"/>
      <c r="JRA33" s="713"/>
      <c r="JRB33" s="713"/>
      <c r="JRC33" s="713"/>
      <c r="JRD33" s="713"/>
      <c r="JRE33" s="713"/>
      <c r="JRF33" s="713"/>
      <c r="JRG33" s="713"/>
      <c r="JRH33" s="713"/>
      <c r="JRI33" s="713"/>
      <c r="JRJ33" s="713"/>
      <c r="JRK33" s="713"/>
      <c r="JRL33" s="713"/>
      <c r="JRM33" s="713"/>
      <c r="JRN33" s="713"/>
      <c r="JRO33" s="713"/>
      <c r="JRP33" s="713"/>
      <c r="JRQ33" s="713"/>
      <c r="JRR33" s="713"/>
      <c r="JRS33" s="713"/>
      <c r="JRT33" s="713"/>
      <c r="JRU33" s="713"/>
      <c r="JRV33" s="713"/>
      <c r="JRW33" s="713"/>
      <c r="JRX33" s="713"/>
      <c r="JRY33" s="713"/>
      <c r="JRZ33" s="713"/>
      <c r="JSA33" s="713"/>
      <c r="JSB33" s="713"/>
      <c r="JSC33" s="713"/>
      <c r="JSD33" s="713"/>
      <c r="JSE33" s="713"/>
      <c r="JSF33" s="713"/>
      <c r="JSG33" s="713"/>
      <c r="JSH33" s="713"/>
      <c r="JSI33" s="713"/>
      <c r="JSJ33" s="713"/>
      <c r="JSK33" s="713"/>
      <c r="JSL33" s="713"/>
      <c r="JSM33" s="713"/>
      <c r="JSN33" s="713"/>
      <c r="JSO33" s="713"/>
      <c r="JSP33" s="713"/>
      <c r="JSQ33" s="713"/>
      <c r="JSR33" s="713"/>
      <c r="JSS33" s="713"/>
      <c r="JST33" s="713"/>
      <c r="JSU33" s="713"/>
      <c r="JSV33" s="713"/>
      <c r="JSW33" s="713"/>
      <c r="JSX33" s="713"/>
      <c r="JSY33" s="713"/>
      <c r="JSZ33" s="713"/>
      <c r="JTA33" s="713"/>
      <c r="JTB33" s="713"/>
      <c r="JTC33" s="713"/>
      <c r="JTD33" s="713"/>
      <c r="JTE33" s="713"/>
      <c r="JTF33" s="713"/>
      <c r="JTG33" s="713"/>
      <c r="JTH33" s="713"/>
      <c r="JTI33" s="713"/>
      <c r="JTJ33" s="713"/>
      <c r="JTK33" s="713"/>
      <c r="JTL33" s="713"/>
      <c r="JTM33" s="713"/>
      <c r="JTN33" s="713"/>
      <c r="JTO33" s="713"/>
      <c r="JTP33" s="713"/>
      <c r="JTQ33" s="713"/>
      <c r="JTR33" s="713"/>
      <c r="JTS33" s="713"/>
      <c r="JTT33" s="713"/>
      <c r="JTU33" s="713"/>
      <c r="JTV33" s="713"/>
      <c r="JTW33" s="713"/>
      <c r="JTX33" s="713"/>
      <c r="JTY33" s="713"/>
      <c r="JTZ33" s="713"/>
      <c r="JUA33" s="713"/>
      <c r="JUB33" s="713"/>
      <c r="JUC33" s="713"/>
      <c r="JUD33" s="713"/>
      <c r="JUE33" s="713"/>
      <c r="JUF33" s="713"/>
      <c r="JUG33" s="713"/>
      <c r="JUH33" s="713"/>
      <c r="JUI33" s="713"/>
      <c r="JUJ33" s="713"/>
      <c r="JUK33" s="713"/>
      <c r="JUL33" s="713"/>
      <c r="JUM33" s="713"/>
      <c r="JUN33" s="713"/>
      <c r="JUO33" s="713"/>
      <c r="JUP33" s="713"/>
      <c r="JUQ33" s="713"/>
      <c r="JUR33" s="713"/>
      <c r="JUS33" s="713"/>
      <c r="JUT33" s="713"/>
      <c r="JUU33" s="713"/>
      <c r="JUV33" s="713"/>
      <c r="JUW33" s="713"/>
      <c r="JUX33" s="713"/>
      <c r="JUY33" s="713"/>
      <c r="JUZ33" s="713"/>
      <c r="JVA33" s="713"/>
      <c r="JVB33" s="713"/>
      <c r="JVC33" s="713"/>
      <c r="JVD33" s="713"/>
      <c r="JVE33" s="713"/>
      <c r="JVF33" s="713"/>
      <c r="JVG33" s="713"/>
      <c r="JVH33" s="713"/>
      <c r="JVI33" s="713"/>
      <c r="JVJ33" s="713"/>
      <c r="JVK33" s="713"/>
      <c r="JVL33" s="713"/>
      <c r="JVM33" s="713"/>
      <c r="JVN33" s="713"/>
      <c r="JVO33" s="713"/>
      <c r="JVP33" s="713"/>
      <c r="JVQ33" s="713"/>
      <c r="JVR33" s="713"/>
      <c r="JVS33" s="713"/>
      <c r="JVT33" s="713"/>
      <c r="JVU33" s="713"/>
      <c r="JVV33" s="713"/>
      <c r="JVW33" s="713"/>
      <c r="JVX33" s="713"/>
      <c r="JVY33" s="713"/>
      <c r="JVZ33" s="713"/>
      <c r="JWA33" s="713"/>
      <c r="JWB33" s="713"/>
      <c r="JWC33" s="713"/>
      <c r="JWD33" s="713"/>
      <c r="JWE33" s="713"/>
      <c r="JWF33" s="713"/>
      <c r="JWG33" s="713"/>
      <c r="JWH33" s="713"/>
      <c r="JWI33" s="713"/>
      <c r="JWJ33" s="713"/>
      <c r="JWK33" s="713"/>
      <c r="JWL33" s="713"/>
      <c r="JWM33" s="713"/>
      <c r="JWN33" s="713"/>
      <c r="JWO33" s="713"/>
      <c r="JWP33" s="713"/>
      <c r="JWQ33" s="713"/>
      <c r="JWR33" s="713"/>
      <c r="JWS33" s="713"/>
      <c r="JWT33" s="713"/>
      <c r="JWU33" s="713"/>
      <c r="JWV33" s="713"/>
      <c r="JWW33" s="713"/>
      <c r="JWX33" s="713"/>
      <c r="JWY33" s="713"/>
      <c r="JWZ33" s="713"/>
      <c r="JXA33" s="713"/>
      <c r="JXB33" s="713"/>
      <c r="JXC33" s="713"/>
      <c r="JXD33" s="713"/>
      <c r="JXE33" s="713"/>
      <c r="JXF33" s="713"/>
      <c r="JXG33" s="713"/>
      <c r="JXH33" s="713"/>
      <c r="JXI33" s="713"/>
      <c r="JXJ33" s="713"/>
      <c r="JXK33" s="713"/>
      <c r="JXL33" s="713"/>
      <c r="JXM33" s="713"/>
      <c r="JXN33" s="713"/>
      <c r="JXO33" s="713"/>
      <c r="JXP33" s="713"/>
      <c r="JXQ33" s="713"/>
      <c r="JXR33" s="713"/>
      <c r="JXS33" s="713"/>
      <c r="JXT33" s="713"/>
      <c r="JXU33" s="713"/>
      <c r="JXV33" s="713"/>
      <c r="JXW33" s="713"/>
      <c r="JXX33" s="713"/>
      <c r="JXY33" s="713"/>
      <c r="JXZ33" s="713"/>
      <c r="JYA33" s="713"/>
      <c r="JYB33" s="713"/>
      <c r="JYC33" s="713"/>
      <c r="JYD33" s="713"/>
      <c r="JYE33" s="713"/>
      <c r="JYF33" s="713"/>
      <c r="JYG33" s="713"/>
      <c r="JYH33" s="713"/>
      <c r="JYI33" s="713"/>
      <c r="JYJ33" s="713"/>
      <c r="JYK33" s="713"/>
      <c r="JYL33" s="713"/>
      <c r="JYM33" s="713"/>
      <c r="JYN33" s="713"/>
      <c r="JYO33" s="713"/>
      <c r="JYP33" s="713"/>
      <c r="JYQ33" s="713"/>
      <c r="JYR33" s="713"/>
      <c r="JYS33" s="713"/>
      <c r="JYT33" s="713"/>
      <c r="JYU33" s="713"/>
      <c r="JYV33" s="713"/>
      <c r="JYW33" s="713"/>
      <c r="JYX33" s="713"/>
      <c r="JYY33" s="713"/>
      <c r="JYZ33" s="713"/>
      <c r="JZA33" s="713"/>
      <c r="JZB33" s="713"/>
      <c r="JZC33" s="713"/>
      <c r="JZD33" s="713"/>
      <c r="JZE33" s="713"/>
      <c r="JZF33" s="713"/>
      <c r="JZG33" s="713"/>
      <c r="JZH33" s="713"/>
      <c r="JZI33" s="713"/>
      <c r="JZJ33" s="713"/>
      <c r="JZK33" s="713"/>
      <c r="JZL33" s="713"/>
      <c r="JZM33" s="713"/>
      <c r="JZN33" s="713"/>
      <c r="JZO33" s="713"/>
      <c r="JZP33" s="713"/>
      <c r="JZQ33" s="713"/>
      <c r="JZR33" s="713"/>
      <c r="JZS33" s="713"/>
      <c r="JZT33" s="713"/>
      <c r="JZU33" s="713"/>
      <c r="JZV33" s="713"/>
      <c r="JZW33" s="713"/>
      <c r="JZX33" s="713"/>
      <c r="JZY33" s="713"/>
      <c r="JZZ33" s="713"/>
      <c r="KAA33" s="713"/>
      <c r="KAB33" s="713"/>
      <c r="KAC33" s="713"/>
      <c r="KAD33" s="713"/>
      <c r="KAE33" s="713"/>
      <c r="KAF33" s="713"/>
      <c r="KAG33" s="713"/>
      <c r="KAH33" s="713"/>
      <c r="KAI33" s="713"/>
      <c r="KAJ33" s="713"/>
      <c r="KAK33" s="713"/>
      <c r="KAL33" s="713"/>
      <c r="KAM33" s="713"/>
      <c r="KAN33" s="713"/>
      <c r="KAO33" s="713"/>
      <c r="KAP33" s="713"/>
      <c r="KAQ33" s="713"/>
      <c r="KAR33" s="713"/>
      <c r="KAS33" s="713"/>
      <c r="KAT33" s="713"/>
      <c r="KAU33" s="713"/>
      <c r="KAV33" s="713"/>
      <c r="KAW33" s="713"/>
      <c r="KAX33" s="713"/>
      <c r="KAY33" s="713"/>
      <c r="KAZ33" s="713"/>
      <c r="KBA33" s="713"/>
      <c r="KBB33" s="713"/>
      <c r="KBC33" s="713"/>
      <c r="KBD33" s="713"/>
      <c r="KBE33" s="713"/>
      <c r="KBF33" s="713"/>
      <c r="KBG33" s="713"/>
      <c r="KBH33" s="713"/>
      <c r="KBI33" s="713"/>
      <c r="KBJ33" s="713"/>
      <c r="KBK33" s="713"/>
      <c r="KBL33" s="713"/>
      <c r="KBM33" s="713"/>
      <c r="KBN33" s="713"/>
      <c r="KBO33" s="713"/>
      <c r="KBP33" s="713"/>
      <c r="KBQ33" s="713"/>
      <c r="KBR33" s="713"/>
      <c r="KBS33" s="713"/>
      <c r="KBT33" s="713"/>
      <c r="KBU33" s="713"/>
      <c r="KBV33" s="713"/>
      <c r="KBW33" s="713"/>
      <c r="KBX33" s="713"/>
      <c r="KBY33" s="713"/>
      <c r="KBZ33" s="713"/>
      <c r="KCA33" s="713"/>
      <c r="KCB33" s="713"/>
      <c r="KCC33" s="713"/>
      <c r="KCD33" s="713"/>
      <c r="KCE33" s="713"/>
      <c r="KCF33" s="713"/>
      <c r="KCG33" s="713"/>
      <c r="KCH33" s="713"/>
      <c r="KCI33" s="713"/>
      <c r="KCJ33" s="713"/>
      <c r="KCK33" s="713"/>
      <c r="KCL33" s="713"/>
      <c r="KCM33" s="713"/>
      <c r="KCN33" s="713"/>
      <c r="KCO33" s="713"/>
      <c r="KCP33" s="713"/>
      <c r="KCQ33" s="713"/>
      <c r="KCR33" s="713"/>
      <c r="KCS33" s="713"/>
      <c r="KCT33" s="713"/>
      <c r="KCU33" s="713"/>
      <c r="KCV33" s="713"/>
      <c r="KCW33" s="713"/>
      <c r="KCX33" s="713"/>
      <c r="KCY33" s="713"/>
      <c r="KCZ33" s="713"/>
      <c r="KDA33" s="713"/>
      <c r="KDB33" s="713"/>
      <c r="KDC33" s="713"/>
      <c r="KDD33" s="713"/>
      <c r="KDE33" s="713"/>
      <c r="KDF33" s="713"/>
      <c r="KDG33" s="713"/>
      <c r="KDH33" s="713"/>
      <c r="KDI33" s="713"/>
      <c r="KDJ33" s="713"/>
      <c r="KDK33" s="713"/>
      <c r="KDL33" s="713"/>
      <c r="KDM33" s="713"/>
      <c r="KDN33" s="713"/>
      <c r="KDO33" s="713"/>
      <c r="KDP33" s="713"/>
      <c r="KDQ33" s="713"/>
      <c r="KDR33" s="713"/>
      <c r="KDS33" s="713"/>
      <c r="KDT33" s="713"/>
      <c r="KDU33" s="713"/>
      <c r="KDV33" s="713"/>
      <c r="KDW33" s="713"/>
      <c r="KDX33" s="713"/>
      <c r="KDY33" s="713"/>
      <c r="KDZ33" s="713"/>
      <c r="KEA33" s="713"/>
      <c r="KEB33" s="713"/>
      <c r="KEC33" s="713"/>
      <c r="KED33" s="713"/>
      <c r="KEE33" s="713"/>
      <c r="KEF33" s="713"/>
      <c r="KEG33" s="713"/>
      <c r="KEH33" s="713"/>
      <c r="KEI33" s="713"/>
      <c r="KEJ33" s="713"/>
      <c r="KEK33" s="713"/>
      <c r="KEL33" s="713"/>
      <c r="KEM33" s="713"/>
      <c r="KEN33" s="713"/>
      <c r="KEO33" s="713"/>
      <c r="KEP33" s="713"/>
      <c r="KEQ33" s="713"/>
      <c r="KER33" s="713"/>
      <c r="KES33" s="713"/>
      <c r="KET33" s="713"/>
      <c r="KEU33" s="713"/>
      <c r="KEV33" s="713"/>
      <c r="KEW33" s="713"/>
      <c r="KEX33" s="713"/>
      <c r="KEY33" s="713"/>
      <c r="KEZ33" s="713"/>
      <c r="KFA33" s="713"/>
      <c r="KFB33" s="713"/>
      <c r="KFC33" s="713"/>
      <c r="KFD33" s="713"/>
      <c r="KFE33" s="713"/>
      <c r="KFF33" s="713"/>
      <c r="KFG33" s="713"/>
      <c r="KFH33" s="713"/>
      <c r="KFI33" s="713"/>
      <c r="KFJ33" s="713"/>
      <c r="KFK33" s="713"/>
      <c r="KFL33" s="713"/>
      <c r="KFM33" s="713"/>
      <c r="KFN33" s="713"/>
      <c r="KFO33" s="713"/>
      <c r="KFP33" s="713"/>
      <c r="KFQ33" s="713"/>
      <c r="KFR33" s="713"/>
      <c r="KFS33" s="713"/>
      <c r="KFT33" s="713"/>
      <c r="KFU33" s="713"/>
      <c r="KFV33" s="713"/>
      <c r="KFW33" s="713"/>
      <c r="KFX33" s="713"/>
      <c r="KFY33" s="713"/>
      <c r="KFZ33" s="713"/>
      <c r="KGA33" s="713"/>
      <c r="KGB33" s="713"/>
      <c r="KGC33" s="713"/>
      <c r="KGD33" s="713"/>
      <c r="KGE33" s="713"/>
      <c r="KGF33" s="713"/>
      <c r="KGG33" s="713"/>
      <c r="KGH33" s="713"/>
      <c r="KGI33" s="713"/>
      <c r="KGJ33" s="713"/>
      <c r="KGK33" s="713"/>
      <c r="KGL33" s="713"/>
      <c r="KGM33" s="713"/>
      <c r="KGN33" s="713"/>
      <c r="KGO33" s="713"/>
      <c r="KGP33" s="713"/>
      <c r="KGQ33" s="713"/>
      <c r="KGR33" s="713"/>
      <c r="KGS33" s="713"/>
      <c r="KGT33" s="713"/>
      <c r="KGU33" s="713"/>
      <c r="KGV33" s="713"/>
      <c r="KGW33" s="713"/>
      <c r="KGX33" s="713"/>
      <c r="KGY33" s="713"/>
      <c r="KGZ33" s="713"/>
      <c r="KHA33" s="713"/>
      <c r="KHB33" s="713"/>
      <c r="KHC33" s="713"/>
      <c r="KHD33" s="713"/>
      <c r="KHE33" s="713"/>
      <c r="KHF33" s="713"/>
      <c r="KHG33" s="713"/>
      <c r="KHH33" s="713"/>
      <c r="KHI33" s="713"/>
      <c r="KHJ33" s="713"/>
      <c r="KHK33" s="713"/>
      <c r="KHL33" s="713"/>
      <c r="KHM33" s="713"/>
      <c r="KHN33" s="713"/>
      <c r="KHO33" s="713"/>
      <c r="KHP33" s="713"/>
      <c r="KHQ33" s="713"/>
      <c r="KHR33" s="713"/>
      <c r="KHS33" s="713"/>
      <c r="KHT33" s="713"/>
      <c r="KHU33" s="713"/>
      <c r="KHV33" s="713"/>
      <c r="KHW33" s="713"/>
      <c r="KHX33" s="713"/>
      <c r="KHY33" s="713"/>
      <c r="KHZ33" s="713"/>
      <c r="KIA33" s="713"/>
      <c r="KIB33" s="713"/>
      <c r="KIC33" s="713"/>
      <c r="KID33" s="713"/>
      <c r="KIE33" s="713"/>
      <c r="KIF33" s="713"/>
      <c r="KIG33" s="713"/>
      <c r="KIH33" s="713"/>
      <c r="KII33" s="713"/>
      <c r="KIJ33" s="713"/>
      <c r="KIK33" s="713"/>
      <c r="KIL33" s="713"/>
      <c r="KIM33" s="713"/>
      <c r="KIN33" s="713"/>
      <c r="KIO33" s="713"/>
      <c r="KIP33" s="713"/>
      <c r="KIQ33" s="713"/>
      <c r="KIR33" s="713"/>
      <c r="KIS33" s="713"/>
      <c r="KIT33" s="713"/>
      <c r="KIU33" s="713"/>
      <c r="KIV33" s="713"/>
      <c r="KIW33" s="713"/>
      <c r="KIX33" s="713"/>
      <c r="KIY33" s="713"/>
      <c r="KIZ33" s="713"/>
      <c r="KJA33" s="713"/>
      <c r="KJB33" s="713"/>
      <c r="KJC33" s="713"/>
      <c r="KJD33" s="713"/>
      <c r="KJE33" s="713"/>
      <c r="KJF33" s="713"/>
      <c r="KJG33" s="713"/>
      <c r="KJH33" s="713"/>
      <c r="KJI33" s="713"/>
      <c r="KJJ33" s="713"/>
      <c r="KJK33" s="713"/>
      <c r="KJL33" s="713"/>
      <c r="KJM33" s="713"/>
      <c r="KJN33" s="713"/>
      <c r="KJO33" s="713"/>
      <c r="KJP33" s="713"/>
      <c r="KJQ33" s="713"/>
      <c r="KJR33" s="713"/>
      <c r="KJS33" s="713"/>
      <c r="KJT33" s="713"/>
      <c r="KJU33" s="713"/>
      <c r="KJV33" s="713"/>
      <c r="KJW33" s="713"/>
      <c r="KJX33" s="713"/>
      <c r="KJY33" s="713"/>
      <c r="KJZ33" s="713"/>
      <c r="KKA33" s="713"/>
      <c r="KKB33" s="713"/>
      <c r="KKC33" s="713"/>
      <c r="KKD33" s="713"/>
      <c r="KKE33" s="713"/>
      <c r="KKF33" s="713"/>
      <c r="KKG33" s="713"/>
      <c r="KKH33" s="713"/>
      <c r="KKI33" s="713"/>
      <c r="KKJ33" s="713"/>
      <c r="KKK33" s="713"/>
      <c r="KKL33" s="713"/>
      <c r="KKM33" s="713"/>
      <c r="KKN33" s="713"/>
      <c r="KKO33" s="713"/>
      <c r="KKP33" s="713"/>
      <c r="KKQ33" s="713"/>
      <c r="KKR33" s="713"/>
      <c r="KKS33" s="713"/>
      <c r="KKT33" s="713"/>
      <c r="KKU33" s="713"/>
      <c r="KKV33" s="713"/>
      <c r="KKW33" s="713"/>
      <c r="KKX33" s="713"/>
      <c r="KKY33" s="713"/>
      <c r="KKZ33" s="713"/>
      <c r="KLA33" s="713"/>
      <c r="KLB33" s="713"/>
      <c r="KLC33" s="713"/>
      <c r="KLD33" s="713"/>
      <c r="KLE33" s="713"/>
      <c r="KLF33" s="713"/>
      <c r="KLG33" s="713"/>
      <c r="KLH33" s="713"/>
      <c r="KLI33" s="713"/>
      <c r="KLJ33" s="713"/>
      <c r="KLK33" s="713"/>
      <c r="KLL33" s="713"/>
      <c r="KLM33" s="713"/>
      <c r="KLN33" s="713"/>
      <c r="KLO33" s="713"/>
      <c r="KLP33" s="713"/>
      <c r="KLQ33" s="713"/>
      <c r="KLR33" s="713"/>
      <c r="KLS33" s="713"/>
      <c r="KLT33" s="713"/>
      <c r="KLU33" s="713"/>
      <c r="KLV33" s="713"/>
      <c r="KLW33" s="713"/>
      <c r="KLX33" s="713"/>
      <c r="KLY33" s="713"/>
      <c r="KLZ33" s="713"/>
      <c r="KMA33" s="713"/>
      <c r="KMB33" s="713"/>
      <c r="KMC33" s="713"/>
      <c r="KMD33" s="713"/>
      <c r="KME33" s="713"/>
      <c r="KMF33" s="713"/>
      <c r="KMG33" s="713"/>
      <c r="KMH33" s="713"/>
      <c r="KMI33" s="713"/>
      <c r="KMJ33" s="713"/>
      <c r="KMK33" s="713"/>
      <c r="KML33" s="713"/>
      <c r="KMM33" s="713"/>
      <c r="KMN33" s="713"/>
      <c r="KMO33" s="713"/>
      <c r="KMP33" s="713"/>
      <c r="KMQ33" s="713"/>
      <c r="KMR33" s="713"/>
      <c r="KMS33" s="713"/>
      <c r="KMT33" s="713"/>
      <c r="KMU33" s="713"/>
      <c r="KMV33" s="713"/>
      <c r="KMW33" s="713"/>
      <c r="KMX33" s="713"/>
      <c r="KMY33" s="713"/>
      <c r="KMZ33" s="713"/>
      <c r="KNA33" s="713"/>
      <c r="KNB33" s="713"/>
      <c r="KNC33" s="713"/>
      <c r="KND33" s="713"/>
      <c r="KNE33" s="713"/>
      <c r="KNF33" s="713"/>
      <c r="KNG33" s="713"/>
      <c r="KNH33" s="713"/>
      <c r="KNI33" s="713"/>
      <c r="KNJ33" s="713"/>
      <c r="KNK33" s="713"/>
      <c r="KNL33" s="713"/>
      <c r="KNM33" s="713"/>
      <c r="KNN33" s="713"/>
      <c r="KNO33" s="713"/>
      <c r="KNP33" s="713"/>
      <c r="KNQ33" s="713"/>
      <c r="KNR33" s="713"/>
      <c r="KNS33" s="713"/>
      <c r="KNT33" s="713"/>
      <c r="KNU33" s="713"/>
      <c r="KNV33" s="713"/>
      <c r="KNW33" s="713"/>
      <c r="KNX33" s="713"/>
      <c r="KNY33" s="713"/>
      <c r="KNZ33" s="713"/>
      <c r="KOA33" s="713"/>
      <c r="KOB33" s="713"/>
      <c r="KOC33" s="713"/>
      <c r="KOD33" s="713"/>
      <c r="KOE33" s="713"/>
      <c r="KOF33" s="713"/>
      <c r="KOG33" s="713"/>
      <c r="KOH33" s="713"/>
      <c r="KOI33" s="713"/>
      <c r="KOJ33" s="713"/>
      <c r="KOK33" s="713"/>
      <c r="KOL33" s="713"/>
      <c r="KOM33" s="713"/>
      <c r="KON33" s="713"/>
      <c r="KOO33" s="713"/>
      <c r="KOP33" s="713"/>
      <c r="KOQ33" s="713"/>
      <c r="KOR33" s="713"/>
      <c r="KOS33" s="713"/>
      <c r="KOT33" s="713"/>
      <c r="KOU33" s="713"/>
      <c r="KOV33" s="713"/>
      <c r="KOW33" s="713"/>
      <c r="KOX33" s="713"/>
      <c r="KOY33" s="713"/>
      <c r="KOZ33" s="713"/>
      <c r="KPA33" s="713"/>
      <c r="KPB33" s="713"/>
      <c r="KPC33" s="713"/>
      <c r="KPD33" s="713"/>
      <c r="KPE33" s="713"/>
      <c r="KPF33" s="713"/>
      <c r="KPG33" s="713"/>
      <c r="KPH33" s="713"/>
      <c r="KPI33" s="713"/>
      <c r="KPJ33" s="713"/>
      <c r="KPK33" s="713"/>
      <c r="KPL33" s="713"/>
      <c r="KPM33" s="713"/>
      <c r="KPN33" s="713"/>
      <c r="KPO33" s="713"/>
      <c r="KPP33" s="713"/>
      <c r="KPQ33" s="713"/>
      <c r="KPR33" s="713"/>
      <c r="KPS33" s="713"/>
      <c r="KPT33" s="713"/>
      <c r="KPU33" s="713"/>
      <c r="KPV33" s="713"/>
      <c r="KPW33" s="713"/>
      <c r="KPX33" s="713"/>
      <c r="KPY33" s="713"/>
      <c r="KPZ33" s="713"/>
      <c r="KQA33" s="713"/>
      <c r="KQB33" s="713"/>
      <c r="KQC33" s="713"/>
      <c r="KQD33" s="713"/>
      <c r="KQE33" s="713"/>
      <c r="KQF33" s="713"/>
      <c r="KQG33" s="713"/>
      <c r="KQH33" s="713"/>
      <c r="KQI33" s="713"/>
      <c r="KQJ33" s="713"/>
      <c r="KQK33" s="713"/>
      <c r="KQL33" s="713"/>
      <c r="KQM33" s="713"/>
      <c r="KQN33" s="713"/>
      <c r="KQO33" s="713"/>
      <c r="KQP33" s="713"/>
      <c r="KQQ33" s="713"/>
      <c r="KQR33" s="713"/>
      <c r="KQS33" s="713"/>
      <c r="KQT33" s="713"/>
      <c r="KQU33" s="713"/>
      <c r="KQV33" s="713"/>
      <c r="KQW33" s="713"/>
      <c r="KQX33" s="713"/>
      <c r="KQY33" s="713"/>
      <c r="KQZ33" s="713"/>
      <c r="KRA33" s="713"/>
      <c r="KRB33" s="713"/>
      <c r="KRC33" s="713"/>
      <c r="KRD33" s="713"/>
      <c r="KRE33" s="713"/>
      <c r="KRF33" s="713"/>
      <c r="KRG33" s="713"/>
      <c r="KRH33" s="713"/>
      <c r="KRI33" s="713"/>
      <c r="KRJ33" s="713"/>
      <c r="KRK33" s="713"/>
      <c r="KRL33" s="713"/>
      <c r="KRM33" s="713"/>
      <c r="KRN33" s="713"/>
      <c r="KRO33" s="713"/>
      <c r="KRP33" s="713"/>
      <c r="KRQ33" s="713"/>
      <c r="KRR33" s="713"/>
      <c r="KRS33" s="713"/>
      <c r="KRT33" s="713"/>
      <c r="KRU33" s="713"/>
      <c r="KRV33" s="713"/>
      <c r="KRW33" s="713"/>
      <c r="KRX33" s="713"/>
      <c r="KRY33" s="713"/>
      <c r="KRZ33" s="713"/>
      <c r="KSA33" s="713"/>
      <c r="KSB33" s="713"/>
      <c r="KSC33" s="713"/>
      <c r="KSD33" s="713"/>
      <c r="KSE33" s="713"/>
      <c r="KSF33" s="713"/>
      <c r="KSG33" s="713"/>
      <c r="KSH33" s="713"/>
      <c r="KSI33" s="713"/>
      <c r="KSJ33" s="713"/>
      <c r="KSK33" s="713"/>
      <c r="KSL33" s="713"/>
      <c r="KSM33" s="713"/>
      <c r="KSN33" s="713"/>
      <c r="KSO33" s="713"/>
      <c r="KSP33" s="713"/>
      <c r="KSQ33" s="713"/>
      <c r="KSR33" s="713"/>
      <c r="KSS33" s="713"/>
      <c r="KST33" s="713"/>
      <c r="KSU33" s="713"/>
      <c r="KSV33" s="713"/>
      <c r="KSW33" s="713"/>
      <c r="KSX33" s="713"/>
      <c r="KSY33" s="713"/>
      <c r="KSZ33" s="713"/>
      <c r="KTA33" s="713"/>
      <c r="KTB33" s="713"/>
      <c r="KTC33" s="713"/>
      <c r="KTD33" s="713"/>
      <c r="KTE33" s="713"/>
      <c r="KTF33" s="713"/>
      <c r="KTG33" s="713"/>
      <c r="KTH33" s="713"/>
      <c r="KTI33" s="713"/>
      <c r="KTJ33" s="713"/>
      <c r="KTK33" s="713"/>
      <c r="KTL33" s="713"/>
      <c r="KTM33" s="713"/>
      <c r="KTN33" s="713"/>
      <c r="KTO33" s="713"/>
      <c r="KTP33" s="713"/>
      <c r="KTQ33" s="713"/>
      <c r="KTR33" s="713"/>
      <c r="KTS33" s="713"/>
      <c r="KTT33" s="713"/>
      <c r="KTU33" s="713"/>
      <c r="KTV33" s="713"/>
      <c r="KTW33" s="713"/>
      <c r="KTX33" s="713"/>
      <c r="KTY33" s="713"/>
      <c r="KTZ33" s="713"/>
      <c r="KUA33" s="713"/>
      <c r="KUB33" s="713"/>
      <c r="KUC33" s="713"/>
      <c r="KUD33" s="713"/>
      <c r="KUE33" s="713"/>
      <c r="KUF33" s="713"/>
      <c r="KUG33" s="713"/>
      <c r="KUH33" s="713"/>
      <c r="KUI33" s="713"/>
      <c r="KUJ33" s="713"/>
      <c r="KUK33" s="713"/>
      <c r="KUL33" s="713"/>
      <c r="KUM33" s="713"/>
      <c r="KUN33" s="713"/>
      <c r="KUO33" s="713"/>
      <c r="KUP33" s="713"/>
      <c r="KUQ33" s="713"/>
      <c r="KUR33" s="713"/>
      <c r="KUS33" s="713"/>
      <c r="KUT33" s="713"/>
      <c r="KUU33" s="713"/>
      <c r="KUV33" s="713"/>
      <c r="KUW33" s="713"/>
      <c r="KUX33" s="713"/>
      <c r="KUY33" s="713"/>
      <c r="KUZ33" s="713"/>
      <c r="KVA33" s="713"/>
      <c r="KVB33" s="713"/>
      <c r="KVC33" s="713"/>
      <c r="KVD33" s="713"/>
      <c r="KVE33" s="713"/>
      <c r="KVF33" s="713"/>
      <c r="KVG33" s="713"/>
      <c r="KVH33" s="713"/>
      <c r="KVI33" s="713"/>
      <c r="KVJ33" s="713"/>
      <c r="KVK33" s="713"/>
      <c r="KVL33" s="713"/>
      <c r="KVM33" s="713"/>
      <c r="KVN33" s="713"/>
      <c r="KVO33" s="713"/>
      <c r="KVP33" s="713"/>
      <c r="KVQ33" s="713"/>
      <c r="KVR33" s="713"/>
      <c r="KVS33" s="713"/>
      <c r="KVT33" s="713"/>
      <c r="KVU33" s="713"/>
      <c r="KVV33" s="713"/>
      <c r="KVW33" s="713"/>
      <c r="KVX33" s="713"/>
      <c r="KVY33" s="713"/>
      <c r="KVZ33" s="713"/>
      <c r="KWA33" s="713"/>
      <c r="KWB33" s="713"/>
      <c r="KWC33" s="713"/>
      <c r="KWD33" s="713"/>
      <c r="KWE33" s="713"/>
      <c r="KWF33" s="713"/>
      <c r="KWG33" s="713"/>
      <c r="KWH33" s="713"/>
      <c r="KWI33" s="713"/>
      <c r="KWJ33" s="713"/>
      <c r="KWK33" s="713"/>
      <c r="KWL33" s="713"/>
      <c r="KWM33" s="713"/>
      <c r="KWN33" s="713"/>
      <c r="KWO33" s="713"/>
      <c r="KWP33" s="713"/>
      <c r="KWQ33" s="713"/>
      <c r="KWR33" s="713"/>
      <c r="KWS33" s="713"/>
      <c r="KWT33" s="713"/>
      <c r="KWU33" s="713"/>
      <c r="KWV33" s="713"/>
      <c r="KWW33" s="713"/>
      <c r="KWX33" s="713"/>
      <c r="KWY33" s="713"/>
      <c r="KWZ33" s="713"/>
      <c r="KXA33" s="713"/>
      <c r="KXB33" s="713"/>
      <c r="KXC33" s="713"/>
      <c r="KXD33" s="713"/>
      <c r="KXE33" s="713"/>
      <c r="KXF33" s="713"/>
      <c r="KXG33" s="713"/>
      <c r="KXH33" s="713"/>
      <c r="KXI33" s="713"/>
      <c r="KXJ33" s="713"/>
      <c r="KXK33" s="713"/>
      <c r="KXL33" s="713"/>
      <c r="KXM33" s="713"/>
      <c r="KXN33" s="713"/>
      <c r="KXO33" s="713"/>
      <c r="KXP33" s="713"/>
      <c r="KXQ33" s="713"/>
      <c r="KXR33" s="713"/>
      <c r="KXS33" s="713"/>
      <c r="KXT33" s="713"/>
      <c r="KXU33" s="713"/>
      <c r="KXV33" s="713"/>
      <c r="KXW33" s="713"/>
      <c r="KXX33" s="713"/>
      <c r="KXY33" s="713"/>
      <c r="KXZ33" s="713"/>
      <c r="KYA33" s="713"/>
      <c r="KYB33" s="713"/>
      <c r="KYC33" s="713"/>
      <c r="KYD33" s="713"/>
      <c r="KYE33" s="713"/>
      <c r="KYF33" s="713"/>
      <c r="KYG33" s="713"/>
      <c r="KYH33" s="713"/>
      <c r="KYI33" s="713"/>
      <c r="KYJ33" s="713"/>
      <c r="KYK33" s="713"/>
      <c r="KYL33" s="713"/>
      <c r="KYM33" s="713"/>
      <c r="KYN33" s="713"/>
      <c r="KYO33" s="713"/>
      <c r="KYP33" s="713"/>
      <c r="KYQ33" s="713"/>
      <c r="KYR33" s="713"/>
      <c r="KYS33" s="713"/>
      <c r="KYT33" s="713"/>
      <c r="KYU33" s="713"/>
      <c r="KYV33" s="713"/>
      <c r="KYW33" s="713"/>
      <c r="KYX33" s="713"/>
      <c r="KYY33" s="713"/>
      <c r="KYZ33" s="713"/>
      <c r="KZA33" s="713"/>
      <c r="KZB33" s="713"/>
      <c r="KZC33" s="713"/>
      <c r="KZD33" s="713"/>
      <c r="KZE33" s="713"/>
      <c r="KZF33" s="713"/>
      <c r="KZG33" s="713"/>
      <c r="KZH33" s="713"/>
      <c r="KZI33" s="713"/>
      <c r="KZJ33" s="713"/>
      <c r="KZK33" s="713"/>
      <c r="KZL33" s="713"/>
      <c r="KZM33" s="713"/>
      <c r="KZN33" s="713"/>
      <c r="KZO33" s="713"/>
      <c r="KZP33" s="713"/>
      <c r="KZQ33" s="713"/>
      <c r="KZR33" s="713"/>
      <c r="KZS33" s="713"/>
      <c r="KZT33" s="713"/>
      <c r="KZU33" s="713"/>
      <c r="KZV33" s="713"/>
      <c r="KZW33" s="713"/>
      <c r="KZX33" s="713"/>
      <c r="KZY33" s="713"/>
      <c r="KZZ33" s="713"/>
      <c r="LAA33" s="713"/>
      <c r="LAB33" s="713"/>
      <c r="LAC33" s="713"/>
      <c r="LAD33" s="713"/>
      <c r="LAE33" s="713"/>
      <c r="LAF33" s="713"/>
      <c r="LAG33" s="713"/>
      <c r="LAH33" s="713"/>
      <c r="LAI33" s="713"/>
      <c r="LAJ33" s="713"/>
      <c r="LAK33" s="713"/>
      <c r="LAL33" s="713"/>
      <c r="LAM33" s="713"/>
      <c r="LAN33" s="713"/>
      <c r="LAO33" s="713"/>
      <c r="LAP33" s="713"/>
      <c r="LAQ33" s="713"/>
      <c r="LAR33" s="713"/>
      <c r="LAS33" s="713"/>
      <c r="LAT33" s="713"/>
      <c r="LAU33" s="713"/>
      <c r="LAV33" s="713"/>
      <c r="LAW33" s="713"/>
      <c r="LAX33" s="713"/>
      <c r="LAY33" s="713"/>
      <c r="LAZ33" s="713"/>
      <c r="LBA33" s="713"/>
      <c r="LBB33" s="713"/>
      <c r="LBC33" s="713"/>
      <c r="LBD33" s="713"/>
      <c r="LBE33" s="713"/>
      <c r="LBF33" s="713"/>
      <c r="LBG33" s="713"/>
      <c r="LBH33" s="713"/>
      <c r="LBI33" s="713"/>
      <c r="LBJ33" s="713"/>
      <c r="LBK33" s="713"/>
      <c r="LBL33" s="713"/>
      <c r="LBM33" s="713"/>
      <c r="LBN33" s="713"/>
      <c r="LBO33" s="713"/>
      <c r="LBP33" s="713"/>
      <c r="LBQ33" s="713"/>
      <c r="LBR33" s="713"/>
      <c r="LBS33" s="713"/>
      <c r="LBT33" s="713"/>
      <c r="LBU33" s="713"/>
      <c r="LBV33" s="713"/>
      <c r="LBW33" s="713"/>
      <c r="LBX33" s="713"/>
      <c r="LBY33" s="713"/>
      <c r="LBZ33" s="713"/>
      <c r="LCA33" s="713"/>
      <c r="LCB33" s="713"/>
      <c r="LCC33" s="713"/>
      <c r="LCD33" s="713"/>
      <c r="LCE33" s="713"/>
      <c r="LCF33" s="713"/>
      <c r="LCG33" s="713"/>
      <c r="LCH33" s="713"/>
      <c r="LCI33" s="713"/>
      <c r="LCJ33" s="713"/>
      <c r="LCK33" s="713"/>
      <c r="LCL33" s="713"/>
      <c r="LCM33" s="713"/>
      <c r="LCN33" s="713"/>
      <c r="LCO33" s="713"/>
      <c r="LCP33" s="713"/>
      <c r="LCQ33" s="713"/>
      <c r="LCR33" s="713"/>
      <c r="LCS33" s="713"/>
      <c r="LCT33" s="713"/>
      <c r="LCU33" s="713"/>
      <c r="LCV33" s="713"/>
      <c r="LCW33" s="713"/>
      <c r="LCX33" s="713"/>
      <c r="LCY33" s="713"/>
      <c r="LCZ33" s="713"/>
      <c r="LDA33" s="713"/>
      <c r="LDB33" s="713"/>
      <c r="LDC33" s="713"/>
      <c r="LDD33" s="713"/>
      <c r="LDE33" s="713"/>
      <c r="LDF33" s="713"/>
      <c r="LDG33" s="713"/>
      <c r="LDH33" s="713"/>
      <c r="LDI33" s="713"/>
      <c r="LDJ33" s="713"/>
      <c r="LDK33" s="713"/>
      <c r="LDL33" s="713"/>
      <c r="LDM33" s="713"/>
      <c r="LDN33" s="713"/>
      <c r="LDO33" s="713"/>
      <c r="LDP33" s="713"/>
      <c r="LDQ33" s="713"/>
      <c r="LDR33" s="713"/>
      <c r="LDS33" s="713"/>
      <c r="LDT33" s="713"/>
      <c r="LDU33" s="713"/>
      <c r="LDV33" s="713"/>
      <c r="LDW33" s="713"/>
      <c r="LDX33" s="713"/>
      <c r="LDY33" s="713"/>
      <c r="LDZ33" s="713"/>
      <c r="LEA33" s="713"/>
      <c r="LEB33" s="713"/>
      <c r="LEC33" s="713"/>
      <c r="LED33" s="713"/>
      <c r="LEE33" s="713"/>
      <c r="LEF33" s="713"/>
      <c r="LEG33" s="713"/>
      <c r="LEH33" s="713"/>
      <c r="LEI33" s="713"/>
      <c r="LEJ33" s="713"/>
      <c r="LEK33" s="713"/>
      <c r="LEL33" s="713"/>
      <c r="LEM33" s="713"/>
      <c r="LEN33" s="713"/>
      <c r="LEO33" s="713"/>
      <c r="LEP33" s="713"/>
      <c r="LEQ33" s="713"/>
      <c r="LER33" s="713"/>
      <c r="LES33" s="713"/>
      <c r="LET33" s="713"/>
      <c r="LEU33" s="713"/>
      <c r="LEV33" s="713"/>
      <c r="LEW33" s="713"/>
      <c r="LEX33" s="713"/>
      <c r="LEY33" s="713"/>
      <c r="LEZ33" s="713"/>
      <c r="LFA33" s="713"/>
      <c r="LFB33" s="713"/>
      <c r="LFC33" s="713"/>
      <c r="LFD33" s="713"/>
      <c r="LFE33" s="713"/>
      <c r="LFF33" s="713"/>
      <c r="LFG33" s="713"/>
      <c r="LFH33" s="713"/>
      <c r="LFI33" s="713"/>
      <c r="LFJ33" s="713"/>
      <c r="LFK33" s="713"/>
      <c r="LFL33" s="713"/>
      <c r="LFM33" s="713"/>
      <c r="LFN33" s="713"/>
      <c r="LFO33" s="713"/>
      <c r="LFP33" s="713"/>
      <c r="LFQ33" s="713"/>
      <c r="LFR33" s="713"/>
      <c r="LFS33" s="713"/>
      <c r="LFT33" s="713"/>
      <c r="LFU33" s="713"/>
      <c r="LFV33" s="713"/>
      <c r="LFW33" s="713"/>
      <c r="LFX33" s="713"/>
      <c r="LFY33" s="713"/>
      <c r="LFZ33" s="713"/>
      <c r="LGA33" s="713"/>
      <c r="LGB33" s="713"/>
      <c r="LGC33" s="713"/>
      <c r="LGD33" s="713"/>
      <c r="LGE33" s="713"/>
      <c r="LGF33" s="713"/>
      <c r="LGG33" s="713"/>
      <c r="LGH33" s="713"/>
      <c r="LGI33" s="713"/>
      <c r="LGJ33" s="713"/>
      <c r="LGK33" s="713"/>
      <c r="LGL33" s="713"/>
      <c r="LGM33" s="713"/>
      <c r="LGN33" s="713"/>
      <c r="LGO33" s="713"/>
      <c r="LGP33" s="713"/>
      <c r="LGQ33" s="713"/>
      <c r="LGR33" s="713"/>
      <c r="LGS33" s="713"/>
      <c r="LGT33" s="713"/>
      <c r="LGU33" s="713"/>
      <c r="LGV33" s="713"/>
      <c r="LGW33" s="713"/>
      <c r="LGX33" s="713"/>
      <c r="LGY33" s="713"/>
      <c r="LGZ33" s="713"/>
      <c r="LHA33" s="713"/>
      <c r="LHB33" s="713"/>
      <c r="LHC33" s="713"/>
      <c r="LHD33" s="713"/>
      <c r="LHE33" s="713"/>
      <c r="LHF33" s="713"/>
      <c r="LHG33" s="713"/>
      <c r="LHH33" s="713"/>
      <c r="LHI33" s="713"/>
      <c r="LHJ33" s="713"/>
      <c r="LHK33" s="713"/>
      <c r="LHL33" s="713"/>
      <c r="LHM33" s="713"/>
      <c r="LHN33" s="713"/>
      <c r="LHO33" s="713"/>
      <c r="LHP33" s="713"/>
      <c r="LHQ33" s="713"/>
      <c r="LHR33" s="713"/>
      <c r="LHS33" s="713"/>
      <c r="LHT33" s="713"/>
      <c r="LHU33" s="713"/>
      <c r="LHV33" s="713"/>
      <c r="LHW33" s="713"/>
      <c r="LHX33" s="713"/>
      <c r="LHY33" s="713"/>
      <c r="LHZ33" s="713"/>
      <c r="LIA33" s="713"/>
      <c r="LIB33" s="713"/>
      <c r="LIC33" s="713"/>
      <c r="LID33" s="713"/>
      <c r="LIE33" s="713"/>
      <c r="LIF33" s="713"/>
      <c r="LIG33" s="713"/>
      <c r="LIH33" s="713"/>
      <c r="LII33" s="713"/>
      <c r="LIJ33" s="713"/>
      <c r="LIK33" s="713"/>
      <c r="LIL33" s="713"/>
      <c r="LIM33" s="713"/>
      <c r="LIN33" s="713"/>
      <c r="LIO33" s="713"/>
      <c r="LIP33" s="713"/>
      <c r="LIQ33" s="713"/>
      <c r="LIR33" s="713"/>
      <c r="LIS33" s="713"/>
      <c r="LIT33" s="713"/>
      <c r="LIU33" s="713"/>
      <c r="LIV33" s="713"/>
      <c r="LIW33" s="713"/>
      <c r="LIX33" s="713"/>
      <c r="LIY33" s="713"/>
      <c r="LIZ33" s="713"/>
      <c r="LJA33" s="713"/>
      <c r="LJB33" s="713"/>
      <c r="LJC33" s="713"/>
      <c r="LJD33" s="713"/>
      <c r="LJE33" s="713"/>
      <c r="LJF33" s="713"/>
      <c r="LJG33" s="713"/>
      <c r="LJH33" s="713"/>
      <c r="LJI33" s="713"/>
      <c r="LJJ33" s="713"/>
      <c r="LJK33" s="713"/>
      <c r="LJL33" s="713"/>
      <c r="LJM33" s="713"/>
      <c r="LJN33" s="713"/>
      <c r="LJO33" s="713"/>
      <c r="LJP33" s="713"/>
      <c r="LJQ33" s="713"/>
      <c r="LJR33" s="713"/>
      <c r="LJS33" s="713"/>
      <c r="LJT33" s="713"/>
      <c r="LJU33" s="713"/>
      <c r="LJV33" s="713"/>
      <c r="LJW33" s="713"/>
      <c r="LJX33" s="713"/>
      <c r="LJY33" s="713"/>
      <c r="LJZ33" s="713"/>
      <c r="LKA33" s="713"/>
      <c r="LKB33" s="713"/>
      <c r="LKC33" s="713"/>
      <c r="LKD33" s="713"/>
      <c r="LKE33" s="713"/>
      <c r="LKF33" s="713"/>
      <c r="LKG33" s="713"/>
      <c r="LKH33" s="713"/>
      <c r="LKI33" s="713"/>
      <c r="LKJ33" s="713"/>
      <c r="LKK33" s="713"/>
      <c r="LKL33" s="713"/>
      <c r="LKM33" s="713"/>
      <c r="LKN33" s="713"/>
      <c r="LKO33" s="713"/>
      <c r="LKP33" s="713"/>
      <c r="LKQ33" s="713"/>
      <c r="LKR33" s="713"/>
      <c r="LKS33" s="713"/>
      <c r="LKT33" s="713"/>
      <c r="LKU33" s="713"/>
      <c r="LKV33" s="713"/>
      <c r="LKW33" s="713"/>
      <c r="LKX33" s="713"/>
      <c r="LKY33" s="713"/>
      <c r="LKZ33" s="713"/>
      <c r="LLA33" s="713"/>
      <c r="LLB33" s="713"/>
      <c r="LLC33" s="713"/>
      <c r="LLD33" s="713"/>
      <c r="LLE33" s="713"/>
      <c r="LLF33" s="713"/>
      <c r="LLG33" s="713"/>
      <c r="LLH33" s="713"/>
      <c r="LLI33" s="713"/>
      <c r="LLJ33" s="713"/>
      <c r="LLK33" s="713"/>
      <c r="LLL33" s="713"/>
      <c r="LLM33" s="713"/>
      <c r="LLN33" s="713"/>
      <c r="LLO33" s="713"/>
      <c r="LLP33" s="713"/>
      <c r="LLQ33" s="713"/>
      <c r="LLR33" s="713"/>
      <c r="LLS33" s="713"/>
      <c r="LLT33" s="713"/>
      <c r="LLU33" s="713"/>
      <c r="LLV33" s="713"/>
      <c r="LLW33" s="713"/>
      <c r="LLX33" s="713"/>
      <c r="LLY33" s="713"/>
      <c r="LLZ33" s="713"/>
      <c r="LMA33" s="713"/>
      <c r="LMB33" s="713"/>
      <c r="LMC33" s="713"/>
      <c r="LMD33" s="713"/>
      <c r="LME33" s="713"/>
      <c r="LMF33" s="713"/>
      <c r="LMG33" s="713"/>
      <c r="LMH33" s="713"/>
      <c r="LMI33" s="713"/>
      <c r="LMJ33" s="713"/>
      <c r="LMK33" s="713"/>
      <c r="LML33" s="713"/>
      <c r="LMM33" s="713"/>
      <c r="LMN33" s="713"/>
      <c r="LMO33" s="713"/>
      <c r="LMP33" s="713"/>
      <c r="LMQ33" s="713"/>
      <c r="LMR33" s="713"/>
      <c r="LMS33" s="713"/>
      <c r="LMT33" s="713"/>
      <c r="LMU33" s="713"/>
      <c r="LMV33" s="713"/>
      <c r="LMW33" s="713"/>
      <c r="LMX33" s="713"/>
      <c r="LMY33" s="713"/>
      <c r="LMZ33" s="713"/>
      <c r="LNA33" s="713"/>
      <c r="LNB33" s="713"/>
      <c r="LNC33" s="713"/>
      <c r="LND33" s="713"/>
      <c r="LNE33" s="713"/>
      <c r="LNF33" s="713"/>
      <c r="LNG33" s="713"/>
      <c r="LNH33" s="713"/>
      <c r="LNI33" s="713"/>
      <c r="LNJ33" s="713"/>
      <c r="LNK33" s="713"/>
      <c r="LNL33" s="713"/>
      <c r="LNM33" s="713"/>
      <c r="LNN33" s="713"/>
      <c r="LNO33" s="713"/>
      <c r="LNP33" s="713"/>
      <c r="LNQ33" s="713"/>
      <c r="LNR33" s="713"/>
      <c r="LNS33" s="713"/>
      <c r="LNT33" s="713"/>
      <c r="LNU33" s="713"/>
      <c r="LNV33" s="713"/>
      <c r="LNW33" s="713"/>
      <c r="LNX33" s="713"/>
      <c r="LNY33" s="713"/>
      <c r="LNZ33" s="713"/>
      <c r="LOA33" s="713"/>
      <c r="LOB33" s="713"/>
      <c r="LOC33" s="713"/>
      <c r="LOD33" s="713"/>
      <c r="LOE33" s="713"/>
      <c r="LOF33" s="713"/>
      <c r="LOG33" s="713"/>
      <c r="LOH33" s="713"/>
      <c r="LOI33" s="713"/>
      <c r="LOJ33" s="713"/>
      <c r="LOK33" s="713"/>
      <c r="LOL33" s="713"/>
      <c r="LOM33" s="713"/>
      <c r="LON33" s="713"/>
      <c r="LOO33" s="713"/>
      <c r="LOP33" s="713"/>
      <c r="LOQ33" s="713"/>
      <c r="LOR33" s="713"/>
      <c r="LOS33" s="713"/>
      <c r="LOT33" s="713"/>
      <c r="LOU33" s="713"/>
      <c r="LOV33" s="713"/>
      <c r="LOW33" s="713"/>
      <c r="LOX33" s="713"/>
      <c r="LOY33" s="713"/>
      <c r="LOZ33" s="713"/>
      <c r="LPA33" s="713"/>
      <c r="LPB33" s="713"/>
      <c r="LPC33" s="713"/>
      <c r="LPD33" s="713"/>
      <c r="LPE33" s="713"/>
      <c r="LPF33" s="713"/>
      <c r="LPG33" s="713"/>
      <c r="LPH33" s="713"/>
      <c r="LPI33" s="713"/>
      <c r="LPJ33" s="713"/>
      <c r="LPK33" s="713"/>
      <c r="LPL33" s="713"/>
      <c r="LPM33" s="713"/>
      <c r="LPN33" s="713"/>
      <c r="LPO33" s="713"/>
      <c r="LPP33" s="713"/>
      <c r="LPQ33" s="713"/>
      <c r="LPR33" s="713"/>
      <c r="LPS33" s="713"/>
      <c r="LPT33" s="713"/>
      <c r="LPU33" s="713"/>
      <c r="LPV33" s="713"/>
      <c r="LPW33" s="713"/>
      <c r="LPX33" s="713"/>
      <c r="LPY33" s="713"/>
      <c r="LPZ33" s="713"/>
      <c r="LQA33" s="713"/>
      <c r="LQB33" s="713"/>
      <c r="LQC33" s="713"/>
      <c r="LQD33" s="713"/>
      <c r="LQE33" s="713"/>
      <c r="LQF33" s="713"/>
      <c r="LQG33" s="713"/>
      <c r="LQH33" s="713"/>
      <c r="LQI33" s="713"/>
      <c r="LQJ33" s="713"/>
      <c r="LQK33" s="713"/>
      <c r="LQL33" s="713"/>
      <c r="LQM33" s="713"/>
      <c r="LQN33" s="713"/>
      <c r="LQO33" s="713"/>
      <c r="LQP33" s="713"/>
      <c r="LQQ33" s="713"/>
      <c r="LQR33" s="713"/>
      <c r="LQS33" s="713"/>
      <c r="LQT33" s="713"/>
      <c r="LQU33" s="713"/>
      <c r="LQV33" s="713"/>
      <c r="LQW33" s="713"/>
      <c r="LQX33" s="713"/>
      <c r="LQY33" s="713"/>
      <c r="LQZ33" s="713"/>
      <c r="LRA33" s="713"/>
      <c r="LRB33" s="713"/>
      <c r="LRC33" s="713"/>
      <c r="LRD33" s="713"/>
      <c r="LRE33" s="713"/>
      <c r="LRF33" s="713"/>
      <c r="LRG33" s="713"/>
      <c r="LRH33" s="713"/>
      <c r="LRI33" s="713"/>
      <c r="LRJ33" s="713"/>
      <c r="LRK33" s="713"/>
      <c r="LRL33" s="713"/>
      <c r="LRM33" s="713"/>
      <c r="LRN33" s="713"/>
      <c r="LRO33" s="713"/>
      <c r="LRP33" s="713"/>
      <c r="LRQ33" s="713"/>
      <c r="LRR33" s="713"/>
      <c r="LRS33" s="713"/>
      <c r="LRT33" s="713"/>
      <c r="LRU33" s="713"/>
      <c r="LRV33" s="713"/>
      <c r="LRW33" s="713"/>
      <c r="LRX33" s="713"/>
      <c r="LRY33" s="713"/>
      <c r="LRZ33" s="713"/>
      <c r="LSA33" s="713"/>
      <c r="LSB33" s="713"/>
      <c r="LSC33" s="713"/>
      <c r="LSD33" s="713"/>
      <c r="LSE33" s="713"/>
      <c r="LSF33" s="713"/>
      <c r="LSG33" s="713"/>
      <c r="LSH33" s="713"/>
      <c r="LSI33" s="713"/>
      <c r="LSJ33" s="713"/>
      <c r="LSK33" s="713"/>
      <c r="LSL33" s="713"/>
      <c r="LSM33" s="713"/>
      <c r="LSN33" s="713"/>
      <c r="LSO33" s="713"/>
      <c r="LSP33" s="713"/>
      <c r="LSQ33" s="713"/>
      <c r="LSR33" s="713"/>
      <c r="LSS33" s="713"/>
      <c r="LST33" s="713"/>
      <c r="LSU33" s="713"/>
      <c r="LSV33" s="713"/>
      <c r="LSW33" s="713"/>
      <c r="LSX33" s="713"/>
      <c r="LSY33" s="713"/>
      <c r="LSZ33" s="713"/>
      <c r="LTA33" s="713"/>
      <c r="LTB33" s="713"/>
      <c r="LTC33" s="713"/>
      <c r="LTD33" s="713"/>
      <c r="LTE33" s="713"/>
      <c r="LTF33" s="713"/>
      <c r="LTG33" s="713"/>
      <c r="LTH33" s="713"/>
      <c r="LTI33" s="713"/>
      <c r="LTJ33" s="713"/>
      <c r="LTK33" s="713"/>
      <c r="LTL33" s="713"/>
      <c r="LTM33" s="713"/>
      <c r="LTN33" s="713"/>
      <c r="LTO33" s="713"/>
      <c r="LTP33" s="713"/>
      <c r="LTQ33" s="713"/>
      <c r="LTR33" s="713"/>
      <c r="LTS33" s="713"/>
      <c r="LTT33" s="713"/>
      <c r="LTU33" s="713"/>
      <c r="LTV33" s="713"/>
      <c r="LTW33" s="713"/>
      <c r="LTX33" s="713"/>
      <c r="LTY33" s="713"/>
      <c r="LTZ33" s="713"/>
      <c r="LUA33" s="713"/>
      <c r="LUB33" s="713"/>
      <c r="LUC33" s="713"/>
      <c r="LUD33" s="713"/>
      <c r="LUE33" s="713"/>
      <c r="LUF33" s="713"/>
      <c r="LUG33" s="713"/>
      <c r="LUH33" s="713"/>
      <c r="LUI33" s="713"/>
      <c r="LUJ33" s="713"/>
      <c r="LUK33" s="713"/>
      <c r="LUL33" s="713"/>
      <c r="LUM33" s="713"/>
      <c r="LUN33" s="713"/>
      <c r="LUO33" s="713"/>
      <c r="LUP33" s="713"/>
      <c r="LUQ33" s="713"/>
      <c r="LUR33" s="713"/>
      <c r="LUS33" s="713"/>
      <c r="LUT33" s="713"/>
      <c r="LUU33" s="713"/>
      <c r="LUV33" s="713"/>
      <c r="LUW33" s="713"/>
      <c r="LUX33" s="713"/>
      <c r="LUY33" s="713"/>
      <c r="LUZ33" s="713"/>
      <c r="LVA33" s="713"/>
      <c r="LVB33" s="713"/>
      <c r="LVC33" s="713"/>
      <c r="LVD33" s="713"/>
      <c r="LVE33" s="713"/>
      <c r="LVF33" s="713"/>
      <c r="LVG33" s="713"/>
      <c r="LVH33" s="713"/>
      <c r="LVI33" s="713"/>
      <c r="LVJ33" s="713"/>
      <c r="LVK33" s="713"/>
      <c r="LVL33" s="713"/>
      <c r="LVM33" s="713"/>
      <c r="LVN33" s="713"/>
      <c r="LVO33" s="713"/>
      <c r="LVP33" s="713"/>
      <c r="LVQ33" s="713"/>
      <c r="LVR33" s="713"/>
      <c r="LVS33" s="713"/>
      <c r="LVT33" s="713"/>
      <c r="LVU33" s="713"/>
      <c r="LVV33" s="713"/>
      <c r="LVW33" s="713"/>
      <c r="LVX33" s="713"/>
      <c r="LVY33" s="713"/>
      <c r="LVZ33" s="713"/>
      <c r="LWA33" s="713"/>
      <c r="LWB33" s="713"/>
      <c r="LWC33" s="713"/>
      <c r="LWD33" s="713"/>
      <c r="LWE33" s="713"/>
      <c r="LWF33" s="713"/>
      <c r="LWG33" s="713"/>
      <c r="LWH33" s="713"/>
      <c r="LWI33" s="713"/>
      <c r="LWJ33" s="713"/>
      <c r="LWK33" s="713"/>
      <c r="LWL33" s="713"/>
      <c r="LWM33" s="713"/>
      <c r="LWN33" s="713"/>
      <c r="LWO33" s="713"/>
      <c r="LWP33" s="713"/>
      <c r="LWQ33" s="713"/>
      <c r="LWR33" s="713"/>
      <c r="LWS33" s="713"/>
      <c r="LWT33" s="713"/>
      <c r="LWU33" s="713"/>
      <c r="LWV33" s="713"/>
      <c r="LWW33" s="713"/>
      <c r="LWX33" s="713"/>
      <c r="LWY33" s="713"/>
      <c r="LWZ33" s="713"/>
      <c r="LXA33" s="713"/>
      <c r="LXB33" s="713"/>
      <c r="LXC33" s="713"/>
      <c r="LXD33" s="713"/>
      <c r="LXE33" s="713"/>
      <c r="LXF33" s="713"/>
      <c r="LXG33" s="713"/>
      <c r="LXH33" s="713"/>
      <c r="LXI33" s="713"/>
      <c r="LXJ33" s="713"/>
      <c r="LXK33" s="713"/>
      <c r="LXL33" s="713"/>
      <c r="LXM33" s="713"/>
      <c r="LXN33" s="713"/>
      <c r="LXO33" s="713"/>
      <c r="LXP33" s="713"/>
      <c r="LXQ33" s="713"/>
      <c r="LXR33" s="713"/>
      <c r="LXS33" s="713"/>
      <c r="LXT33" s="713"/>
      <c r="LXU33" s="713"/>
      <c r="LXV33" s="713"/>
      <c r="LXW33" s="713"/>
      <c r="LXX33" s="713"/>
      <c r="LXY33" s="713"/>
      <c r="LXZ33" s="713"/>
      <c r="LYA33" s="713"/>
      <c r="LYB33" s="713"/>
      <c r="LYC33" s="713"/>
      <c r="LYD33" s="713"/>
      <c r="LYE33" s="713"/>
      <c r="LYF33" s="713"/>
      <c r="LYG33" s="713"/>
      <c r="LYH33" s="713"/>
      <c r="LYI33" s="713"/>
      <c r="LYJ33" s="713"/>
      <c r="LYK33" s="713"/>
      <c r="LYL33" s="713"/>
      <c r="LYM33" s="713"/>
      <c r="LYN33" s="713"/>
      <c r="LYO33" s="713"/>
      <c r="LYP33" s="713"/>
      <c r="LYQ33" s="713"/>
      <c r="LYR33" s="713"/>
      <c r="LYS33" s="713"/>
      <c r="LYT33" s="713"/>
      <c r="LYU33" s="713"/>
      <c r="LYV33" s="713"/>
      <c r="LYW33" s="713"/>
      <c r="LYX33" s="713"/>
      <c r="LYY33" s="713"/>
      <c r="LYZ33" s="713"/>
      <c r="LZA33" s="713"/>
      <c r="LZB33" s="713"/>
      <c r="LZC33" s="713"/>
      <c r="LZD33" s="713"/>
      <c r="LZE33" s="713"/>
      <c r="LZF33" s="713"/>
      <c r="LZG33" s="713"/>
      <c r="LZH33" s="713"/>
      <c r="LZI33" s="713"/>
      <c r="LZJ33" s="713"/>
      <c r="LZK33" s="713"/>
      <c r="LZL33" s="713"/>
      <c r="LZM33" s="713"/>
      <c r="LZN33" s="713"/>
      <c r="LZO33" s="713"/>
      <c r="LZP33" s="713"/>
      <c r="LZQ33" s="713"/>
      <c r="LZR33" s="713"/>
      <c r="LZS33" s="713"/>
      <c r="LZT33" s="713"/>
      <c r="LZU33" s="713"/>
      <c r="LZV33" s="713"/>
      <c r="LZW33" s="713"/>
      <c r="LZX33" s="713"/>
      <c r="LZY33" s="713"/>
      <c r="LZZ33" s="713"/>
      <c r="MAA33" s="713"/>
      <c r="MAB33" s="713"/>
      <c r="MAC33" s="713"/>
      <c r="MAD33" s="713"/>
      <c r="MAE33" s="713"/>
      <c r="MAF33" s="713"/>
      <c r="MAG33" s="713"/>
      <c r="MAH33" s="713"/>
      <c r="MAI33" s="713"/>
      <c r="MAJ33" s="713"/>
      <c r="MAK33" s="713"/>
      <c r="MAL33" s="713"/>
      <c r="MAM33" s="713"/>
      <c r="MAN33" s="713"/>
      <c r="MAO33" s="713"/>
      <c r="MAP33" s="713"/>
      <c r="MAQ33" s="713"/>
      <c r="MAR33" s="713"/>
      <c r="MAS33" s="713"/>
      <c r="MAT33" s="713"/>
      <c r="MAU33" s="713"/>
      <c r="MAV33" s="713"/>
      <c r="MAW33" s="713"/>
      <c r="MAX33" s="713"/>
      <c r="MAY33" s="713"/>
      <c r="MAZ33" s="713"/>
      <c r="MBA33" s="713"/>
      <c r="MBB33" s="713"/>
      <c r="MBC33" s="713"/>
      <c r="MBD33" s="713"/>
      <c r="MBE33" s="713"/>
      <c r="MBF33" s="713"/>
      <c r="MBG33" s="713"/>
      <c r="MBH33" s="713"/>
      <c r="MBI33" s="713"/>
      <c r="MBJ33" s="713"/>
      <c r="MBK33" s="713"/>
      <c r="MBL33" s="713"/>
      <c r="MBM33" s="713"/>
      <c r="MBN33" s="713"/>
      <c r="MBO33" s="713"/>
      <c r="MBP33" s="713"/>
      <c r="MBQ33" s="713"/>
      <c r="MBR33" s="713"/>
      <c r="MBS33" s="713"/>
      <c r="MBT33" s="713"/>
      <c r="MBU33" s="713"/>
      <c r="MBV33" s="713"/>
      <c r="MBW33" s="713"/>
      <c r="MBX33" s="713"/>
      <c r="MBY33" s="713"/>
      <c r="MBZ33" s="713"/>
      <c r="MCA33" s="713"/>
      <c r="MCB33" s="713"/>
      <c r="MCC33" s="713"/>
      <c r="MCD33" s="713"/>
      <c r="MCE33" s="713"/>
      <c r="MCF33" s="713"/>
      <c r="MCG33" s="713"/>
      <c r="MCH33" s="713"/>
      <c r="MCI33" s="713"/>
      <c r="MCJ33" s="713"/>
      <c r="MCK33" s="713"/>
      <c r="MCL33" s="713"/>
      <c r="MCM33" s="713"/>
      <c r="MCN33" s="713"/>
      <c r="MCO33" s="713"/>
      <c r="MCP33" s="713"/>
      <c r="MCQ33" s="713"/>
      <c r="MCR33" s="713"/>
      <c r="MCS33" s="713"/>
      <c r="MCT33" s="713"/>
      <c r="MCU33" s="713"/>
      <c r="MCV33" s="713"/>
      <c r="MCW33" s="713"/>
      <c r="MCX33" s="713"/>
      <c r="MCY33" s="713"/>
      <c r="MCZ33" s="713"/>
      <c r="MDA33" s="713"/>
      <c r="MDB33" s="713"/>
      <c r="MDC33" s="713"/>
      <c r="MDD33" s="713"/>
      <c r="MDE33" s="713"/>
      <c r="MDF33" s="713"/>
      <c r="MDG33" s="713"/>
      <c r="MDH33" s="713"/>
      <c r="MDI33" s="713"/>
      <c r="MDJ33" s="713"/>
      <c r="MDK33" s="713"/>
      <c r="MDL33" s="713"/>
      <c r="MDM33" s="713"/>
      <c r="MDN33" s="713"/>
      <c r="MDO33" s="713"/>
      <c r="MDP33" s="713"/>
      <c r="MDQ33" s="713"/>
      <c r="MDR33" s="713"/>
      <c r="MDS33" s="713"/>
      <c r="MDT33" s="713"/>
      <c r="MDU33" s="713"/>
      <c r="MDV33" s="713"/>
      <c r="MDW33" s="713"/>
      <c r="MDX33" s="713"/>
      <c r="MDY33" s="713"/>
      <c r="MDZ33" s="713"/>
      <c r="MEA33" s="713"/>
      <c r="MEB33" s="713"/>
      <c r="MEC33" s="713"/>
      <c r="MED33" s="713"/>
      <c r="MEE33" s="713"/>
      <c r="MEF33" s="713"/>
      <c r="MEG33" s="713"/>
      <c r="MEH33" s="713"/>
      <c r="MEI33" s="713"/>
      <c r="MEJ33" s="713"/>
      <c r="MEK33" s="713"/>
      <c r="MEL33" s="713"/>
      <c r="MEM33" s="713"/>
      <c r="MEN33" s="713"/>
      <c r="MEO33" s="713"/>
      <c r="MEP33" s="713"/>
      <c r="MEQ33" s="713"/>
      <c r="MER33" s="713"/>
      <c r="MES33" s="713"/>
      <c r="MET33" s="713"/>
      <c r="MEU33" s="713"/>
      <c r="MEV33" s="713"/>
      <c r="MEW33" s="713"/>
      <c r="MEX33" s="713"/>
      <c r="MEY33" s="713"/>
      <c r="MEZ33" s="713"/>
      <c r="MFA33" s="713"/>
      <c r="MFB33" s="713"/>
      <c r="MFC33" s="713"/>
      <c r="MFD33" s="713"/>
      <c r="MFE33" s="713"/>
      <c r="MFF33" s="713"/>
      <c r="MFG33" s="713"/>
      <c r="MFH33" s="713"/>
      <c r="MFI33" s="713"/>
      <c r="MFJ33" s="713"/>
      <c r="MFK33" s="713"/>
      <c r="MFL33" s="713"/>
      <c r="MFM33" s="713"/>
      <c r="MFN33" s="713"/>
      <c r="MFO33" s="713"/>
      <c r="MFP33" s="713"/>
      <c r="MFQ33" s="713"/>
      <c r="MFR33" s="713"/>
      <c r="MFS33" s="713"/>
      <c r="MFT33" s="713"/>
      <c r="MFU33" s="713"/>
      <c r="MFV33" s="713"/>
      <c r="MFW33" s="713"/>
      <c r="MFX33" s="713"/>
      <c r="MFY33" s="713"/>
      <c r="MFZ33" s="713"/>
      <c r="MGA33" s="713"/>
      <c r="MGB33" s="713"/>
      <c r="MGC33" s="713"/>
      <c r="MGD33" s="713"/>
      <c r="MGE33" s="713"/>
      <c r="MGF33" s="713"/>
      <c r="MGG33" s="713"/>
      <c r="MGH33" s="713"/>
      <c r="MGI33" s="713"/>
      <c r="MGJ33" s="713"/>
      <c r="MGK33" s="713"/>
      <c r="MGL33" s="713"/>
      <c r="MGM33" s="713"/>
      <c r="MGN33" s="713"/>
      <c r="MGO33" s="713"/>
      <c r="MGP33" s="713"/>
      <c r="MGQ33" s="713"/>
      <c r="MGR33" s="713"/>
      <c r="MGS33" s="713"/>
      <c r="MGT33" s="713"/>
      <c r="MGU33" s="713"/>
      <c r="MGV33" s="713"/>
      <c r="MGW33" s="713"/>
      <c r="MGX33" s="713"/>
      <c r="MGY33" s="713"/>
      <c r="MGZ33" s="713"/>
      <c r="MHA33" s="713"/>
      <c r="MHB33" s="713"/>
      <c r="MHC33" s="713"/>
      <c r="MHD33" s="713"/>
      <c r="MHE33" s="713"/>
      <c r="MHF33" s="713"/>
      <c r="MHG33" s="713"/>
      <c r="MHH33" s="713"/>
      <c r="MHI33" s="713"/>
      <c r="MHJ33" s="713"/>
      <c r="MHK33" s="713"/>
      <c r="MHL33" s="713"/>
      <c r="MHM33" s="713"/>
      <c r="MHN33" s="713"/>
      <c r="MHO33" s="713"/>
      <c r="MHP33" s="713"/>
      <c r="MHQ33" s="713"/>
      <c r="MHR33" s="713"/>
      <c r="MHS33" s="713"/>
      <c r="MHT33" s="713"/>
      <c r="MHU33" s="713"/>
      <c r="MHV33" s="713"/>
      <c r="MHW33" s="713"/>
      <c r="MHX33" s="713"/>
      <c r="MHY33" s="713"/>
      <c r="MHZ33" s="713"/>
      <c r="MIA33" s="713"/>
      <c r="MIB33" s="713"/>
      <c r="MIC33" s="713"/>
      <c r="MID33" s="713"/>
      <c r="MIE33" s="713"/>
      <c r="MIF33" s="713"/>
      <c r="MIG33" s="713"/>
      <c r="MIH33" s="713"/>
      <c r="MII33" s="713"/>
      <c r="MIJ33" s="713"/>
      <c r="MIK33" s="713"/>
      <c r="MIL33" s="713"/>
      <c r="MIM33" s="713"/>
      <c r="MIN33" s="713"/>
      <c r="MIO33" s="713"/>
      <c r="MIP33" s="713"/>
      <c r="MIQ33" s="713"/>
      <c r="MIR33" s="713"/>
      <c r="MIS33" s="713"/>
      <c r="MIT33" s="713"/>
      <c r="MIU33" s="713"/>
      <c r="MIV33" s="713"/>
      <c r="MIW33" s="713"/>
      <c r="MIX33" s="713"/>
      <c r="MIY33" s="713"/>
      <c r="MIZ33" s="713"/>
      <c r="MJA33" s="713"/>
      <c r="MJB33" s="713"/>
      <c r="MJC33" s="713"/>
      <c r="MJD33" s="713"/>
      <c r="MJE33" s="713"/>
      <c r="MJF33" s="713"/>
      <c r="MJG33" s="713"/>
      <c r="MJH33" s="713"/>
      <c r="MJI33" s="713"/>
      <c r="MJJ33" s="713"/>
      <c r="MJK33" s="713"/>
      <c r="MJL33" s="713"/>
      <c r="MJM33" s="713"/>
      <c r="MJN33" s="713"/>
      <c r="MJO33" s="713"/>
      <c r="MJP33" s="713"/>
      <c r="MJQ33" s="713"/>
      <c r="MJR33" s="713"/>
      <c r="MJS33" s="713"/>
      <c r="MJT33" s="713"/>
      <c r="MJU33" s="713"/>
      <c r="MJV33" s="713"/>
      <c r="MJW33" s="713"/>
      <c r="MJX33" s="713"/>
      <c r="MJY33" s="713"/>
      <c r="MJZ33" s="713"/>
      <c r="MKA33" s="713"/>
      <c r="MKB33" s="713"/>
      <c r="MKC33" s="713"/>
      <c r="MKD33" s="713"/>
      <c r="MKE33" s="713"/>
      <c r="MKF33" s="713"/>
      <c r="MKG33" s="713"/>
      <c r="MKH33" s="713"/>
      <c r="MKI33" s="713"/>
      <c r="MKJ33" s="713"/>
      <c r="MKK33" s="713"/>
      <c r="MKL33" s="713"/>
      <c r="MKM33" s="713"/>
      <c r="MKN33" s="713"/>
      <c r="MKO33" s="713"/>
      <c r="MKP33" s="713"/>
      <c r="MKQ33" s="713"/>
      <c r="MKR33" s="713"/>
      <c r="MKS33" s="713"/>
      <c r="MKT33" s="713"/>
      <c r="MKU33" s="713"/>
      <c r="MKV33" s="713"/>
      <c r="MKW33" s="713"/>
      <c r="MKX33" s="713"/>
      <c r="MKY33" s="713"/>
      <c r="MKZ33" s="713"/>
      <c r="MLA33" s="713"/>
      <c r="MLB33" s="713"/>
      <c r="MLC33" s="713"/>
      <c r="MLD33" s="713"/>
      <c r="MLE33" s="713"/>
      <c r="MLF33" s="713"/>
      <c r="MLG33" s="713"/>
      <c r="MLH33" s="713"/>
      <c r="MLI33" s="713"/>
      <c r="MLJ33" s="713"/>
      <c r="MLK33" s="713"/>
      <c r="MLL33" s="713"/>
      <c r="MLM33" s="713"/>
      <c r="MLN33" s="713"/>
      <c r="MLO33" s="713"/>
      <c r="MLP33" s="713"/>
      <c r="MLQ33" s="713"/>
      <c r="MLR33" s="713"/>
      <c r="MLS33" s="713"/>
      <c r="MLT33" s="713"/>
      <c r="MLU33" s="713"/>
      <c r="MLV33" s="713"/>
      <c r="MLW33" s="713"/>
      <c r="MLX33" s="713"/>
      <c r="MLY33" s="713"/>
      <c r="MLZ33" s="713"/>
      <c r="MMA33" s="713"/>
      <c r="MMB33" s="713"/>
      <c r="MMC33" s="713"/>
      <c r="MMD33" s="713"/>
      <c r="MME33" s="713"/>
      <c r="MMF33" s="713"/>
      <c r="MMG33" s="713"/>
      <c r="MMH33" s="713"/>
      <c r="MMI33" s="713"/>
      <c r="MMJ33" s="713"/>
      <c r="MMK33" s="713"/>
      <c r="MML33" s="713"/>
      <c r="MMM33" s="713"/>
      <c r="MMN33" s="713"/>
      <c r="MMO33" s="713"/>
      <c r="MMP33" s="713"/>
      <c r="MMQ33" s="713"/>
      <c r="MMR33" s="713"/>
      <c r="MMS33" s="713"/>
      <c r="MMT33" s="713"/>
      <c r="MMU33" s="713"/>
      <c r="MMV33" s="713"/>
      <c r="MMW33" s="713"/>
      <c r="MMX33" s="713"/>
      <c r="MMY33" s="713"/>
      <c r="MMZ33" s="713"/>
      <c r="MNA33" s="713"/>
      <c r="MNB33" s="713"/>
      <c r="MNC33" s="713"/>
      <c r="MND33" s="713"/>
      <c r="MNE33" s="713"/>
      <c r="MNF33" s="713"/>
      <c r="MNG33" s="713"/>
      <c r="MNH33" s="713"/>
      <c r="MNI33" s="713"/>
      <c r="MNJ33" s="713"/>
      <c r="MNK33" s="713"/>
      <c r="MNL33" s="713"/>
      <c r="MNM33" s="713"/>
      <c r="MNN33" s="713"/>
      <c r="MNO33" s="713"/>
      <c r="MNP33" s="713"/>
      <c r="MNQ33" s="713"/>
      <c r="MNR33" s="713"/>
      <c r="MNS33" s="713"/>
      <c r="MNT33" s="713"/>
      <c r="MNU33" s="713"/>
      <c r="MNV33" s="713"/>
      <c r="MNW33" s="713"/>
      <c r="MNX33" s="713"/>
      <c r="MNY33" s="713"/>
      <c r="MNZ33" s="713"/>
      <c r="MOA33" s="713"/>
      <c r="MOB33" s="713"/>
      <c r="MOC33" s="713"/>
      <c r="MOD33" s="713"/>
      <c r="MOE33" s="713"/>
      <c r="MOF33" s="713"/>
      <c r="MOG33" s="713"/>
      <c r="MOH33" s="713"/>
      <c r="MOI33" s="713"/>
      <c r="MOJ33" s="713"/>
      <c r="MOK33" s="713"/>
      <c r="MOL33" s="713"/>
      <c r="MOM33" s="713"/>
      <c r="MON33" s="713"/>
      <c r="MOO33" s="713"/>
      <c r="MOP33" s="713"/>
      <c r="MOQ33" s="713"/>
      <c r="MOR33" s="713"/>
      <c r="MOS33" s="713"/>
      <c r="MOT33" s="713"/>
      <c r="MOU33" s="713"/>
      <c r="MOV33" s="713"/>
      <c r="MOW33" s="713"/>
      <c r="MOX33" s="713"/>
      <c r="MOY33" s="713"/>
      <c r="MOZ33" s="713"/>
      <c r="MPA33" s="713"/>
      <c r="MPB33" s="713"/>
      <c r="MPC33" s="713"/>
      <c r="MPD33" s="713"/>
      <c r="MPE33" s="713"/>
      <c r="MPF33" s="713"/>
      <c r="MPG33" s="713"/>
      <c r="MPH33" s="713"/>
      <c r="MPI33" s="713"/>
      <c r="MPJ33" s="713"/>
      <c r="MPK33" s="713"/>
      <c r="MPL33" s="713"/>
      <c r="MPM33" s="713"/>
      <c r="MPN33" s="713"/>
      <c r="MPO33" s="713"/>
      <c r="MPP33" s="713"/>
      <c r="MPQ33" s="713"/>
      <c r="MPR33" s="713"/>
      <c r="MPS33" s="713"/>
      <c r="MPT33" s="713"/>
      <c r="MPU33" s="713"/>
      <c r="MPV33" s="713"/>
      <c r="MPW33" s="713"/>
      <c r="MPX33" s="713"/>
      <c r="MPY33" s="713"/>
      <c r="MPZ33" s="713"/>
      <c r="MQA33" s="713"/>
      <c r="MQB33" s="713"/>
      <c r="MQC33" s="713"/>
      <c r="MQD33" s="713"/>
      <c r="MQE33" s="713"/>
      <c r="MQF33" s="713"/>
      <c r="MQG33" s="713"/>
      <c r="MQH33" s="713"/>
      <c r="MQI33" s="713"/>
      <c r="MQJ33" s="713"/>
      <c r="MQK33" s="713"/>
      <c r="MQL33" s="713"/>
      <c r="MQM33" s="713"/>
      <c r="MQN33" s="713"/>
      <c r="MQO33" s="713"/>
      <c r="MQP33" s="713"/>
      <c r="MQQ33" s="713"/>
      <c r="MQR33" s="713"/>
      <c r="MQS33" s="713"/>
      <c r="MQT33" s="713"/>
      <c r="MQU33" s="713"/>
      <c r="MQV33" s="713"/>
      <c r="MQW33" s="713"/>
      <c r="MQX33" s="713"/>
      <c r="MQY33" s="713"/>
      <c r="MQZ33" s="713"/>
      <c r="MRA33" s="713"/>
      <c r="MRB33" s="713"/>
      <c r="MRC33" s="713"/>
      <c r="MRD33" s="713"/>
      <c r="MRE33" s="713"/>
      <c r="MRF33" s="713"/>
      <c r="MRG33" s="713"/>
      <c r="MRH33" s="713"/>
      <c r="MRI33" s="713"/>
      <c r="MRJ33" s="713"/>
      <c r="MRK33" s="713"/>
      <c r="MRL33" s="713"/>
      <c r="MRM33" s="713"/>
      <c r="MRN33" s="713"/>
      <c r="MRO33" s="713"/>
      <c r="MRP33" s="713"/>
      <c r="MRQ33" s="713"/>
      <c r="MRR33" s="713"/>
      <c r="MRS33" s="713"/>
      <c r="MRT33" s="713"/>
      <c r="MRU33" s="713"/>
      <c r="MRV33" s="713"/>
      <c r="MRW33" s="713"/>
      <c r="MRX33" s="713"/>
      <c r="MRY33" s="713"/>
      <c r="MRZ33" s="713"/>
      <c r="MSA33" s="713"/>
      <c r="MSB33" s="713"/>
      <c r="MSC33" s="713"/>
      <c r="MSD33" s="713"/>
      <c r="MSE33" s="713"/>
      <c r="MSF33" s="713"/>
      <c r="MSG33" s="713"/>
      <c r="MSH33" s="713"/>
      <c r="MSI33" s="713"/>
      <c r="MSJ33" s="713"/>
      <c r="MSK33" s="713"/>
      <c r="MSL33" s="713"/>
      <c r="MSM33" s="713"/>
      <c r="MSN33" s="713"/>
      <c r="MSO33" s="713"/>
      <c r="MSP33" s="713"/>
      <c r="MSQ33" s="713"/>
      <c r="MSR33" s="713"/>
      <c r="MSS33" s="713"/>
      <c r="MST33" s="713"/>
      <c r="MSU33" s="713"/>
      <c r="MSV33" s="713"/>
      <c r="MSW33" s="713"/>
      <c r="MSX33" s="713"/>
      <c r="MSY33" s="713"/>
      <c r="MSZ33" s="713"/>
      <c r="MTA33" s="713"/>
      <c r="MTB33" s="713"/>
      <c r="MTC33" s="713"/>
      <c r="MTD33" s="713"/>
      <c r="MTE33" s="713"/>
      <c r="MTF33" s="713"/>
      <c r="MTG33" s="713"/>
      <c r="MTH33" s="713"/>
      <c r="MTI33" s="713"/>
      <c r="MTJ33" s="713"/>
      <c r="MTK33" s="713"/>
      <c r="MTL33" s="713"/>
      <c r="MTM33" s="713"/>
      <c r="MTN33" s="713"/>
      <c r="MTO33" s="713"/>
      <c r="MTP33" s="713"/>
      <c r="MTQ33" s="713"/>
      <c r="MTR33" s="713"/>
      <c r="MTS33" s="713"/>
      <c r="MTT33" s="713"/>
      <c r="MTU33" s="713"/>
      <c r="MTV33" s="713"/>
      <c r="MTW33" s="713"/>
      <c r="MTX33" s="713"/>
      <c r="MTY33" s="713"/>
      <c r="MTZ33" s="713"/>
      <c r="MUA33" s="713"/>
      <c r="MUB33" s="713"/>
      <c r="MUC33" s="713"/>
      <c r="MUD33" s="713"/>
      <c r="MUE33" s="713"/>
      <c r="MUF33" s="713"/>
      <c r="MUG33" s="713"/>
      <c r="MUH33" s="713"/>
      <c r="MUI33" s="713"/>
      <c r="MUJ33" s="713"/>
      <c r="MUK33" s="713"/>
      <c r="MUL33" s="713"/>
      <c r="MUM33" s="713"/>
      <c r="MUN33" s="713"/>
      <c r="MUO33" s="713"/>
      <c r="MUP33" s="713"/>
      <c r="MUQ33" s="713"/>
      <c r="MUR33" s="713"/>
      <c r="MUS33" s="713"/>
      <c r="MUT33" s="713"/>
      <c r="MUU33" s="713"/>
      <c r="MUV33" s="713"/>
      <c r="MUW33" s="713"/>
      <c r="MUX33" s="713"/>
      <c r="MUY33" s="713"/>
      <c r="MUZ33" s="713"/>
      <c r="MVA33" s="713"/>
      <c r="MVB33" s="713"/>
      <c r="MVC33" s="713"/>
      <c r="MVD33" s="713"/>
      <c r="MVE33" s="713"/>
      <c r="MVF33" s="713"/>
      <c r="MVG33" s="713"/>
      <c r="MVH33" s="713"/>
      <c r="MVI33" s="713"/>
      <c r="MVJ33" s="713"/>
      <c r="MVK33" s="713"/>
      <c r="MVL33" s="713"/>
      <c r="MVM33" s="713"/>
      <c r="MVN33" s="713"/>
      <c r="MVO33" s="713"/>
      <c r="MVP33" s="713"/>
      <c r="MVQ33" s="713"/>
      <c r="MVR33" s="713"/>
      <c r="MVS33" s="713"/>
      <c r="MVT33" s="713"/>
      <c r="MVU33" s="713"/>
      <c r="MVV33" s="713"/>
      <c r="MVW33" s="713"/>
      <c r="MVX33" s="713"/>
      <c r="MVY33" s="713"/>
      <c r="MVZ33" s="713"/>
      <c r="MWA33" s="713"/>
      <c r="MWB33" s="713"/>
      <c r="MWC33" s="713"/>
      <c r="MWD33" s="713"/>
      <c r="MWE33" s="713"/>
      <c r="MWF33" s="713"/>
      <c r="MWG33" s="713"/>
      <c r="MWH33" s="713"/>
      <c r="MWI33" s="713"/>
      <c r="MWJ33" s="713"/>
      <c r="MWK33" s="713"/>
      <c r="MWL33" s="713"/>
      <c r="MWM33" s="713"/>
      <c r="MWN33" s="713"/>
      <c r="MWO33" s="713"/>
      <c r="MWP33" s="713"/>
      <c r="MWQ33" s="713"/>
      <c r="MWR33" s="713"/>
      <c r="MWS33" s="713"/>
      <c r="MWT33" s="713"/>
      <c r="MWU33" s="713"/>
      <c r="MWV33" s="713"/>
      <c r="MWW33" s="713"/>
      <c r="MWX33" s="713"/>
      <c r="MWY33" s="713"/>
      <c r="MWZ33" s="713"/>
      <c r="MXA33" s="713"/>
      <c r="MXB33" s="713"/>
      <c r="MXC33" s="713"/>
      <c r="MXD33" s="713"/>
      <c r="MXE33" s="713"/>
      <c r="MXF33" s="713"/>
      <c r="MXG33" s="713"/>
      <c r="MXH33" s="713"/>
      <c r="MXI33" s="713"/>
      <c r="MXJ33" s="713"/>
      <c r="MXK33" s="713"/>
      <c r="MXL33" s="713"/>
      <c r="MXM33" s="713"/>
      <c r="MXN33" s="713"/>
      <c r="MXO33" s="713"/>
      <c r="MXP33" s="713"/>
      <c r="MXQ33" s="713"/>
      <c r="MXR33" s="713"/>
      <c r="MXS33" s="713"/>
      <c r="MXT33" s="713"/>
      <c r="MXU33" s="713"/>
      <c r="MXV33" s="713"/>
      <c r="MXW33" s="713"/>
      <c r="MXX33" s="713"/>
      <c r="MXY33" s="713"/>
      <c r="MXZ33" s="713"/>
      <c r="MYA33" s="713"/>
      <c r="MYB33" s="713"/>
      <c r="MYC33" s="713"/>
      <c r="MYD33" s="713"/>
      <c r="MYE33" s="713"/>
      <c r="MYF33" s="713"/>
      <c r="MYG33" s="713"/>
      <c r="MYH33" s="713"/>
      <c r="MYI33" s="713"/>
      <c r="MYJ33" s="713"/>
      <c r="MYK33" s="713"/>
      <c r="MYL33" s="713"/>
      <c r="MYM33" s="713"/>
      <c r="MYN33" s="713"/>
      <c r="MYO33" s="713"/>
      <c r="MYP33" s="713"/>
      <c r="MYQ33" s="713"/>
      <c r="MYR33" s="713"/>
      <c r="MYS33" s="713"/>
      <c r="MYT33" s="713"/>
      <c r="MYU33" s="713"/>
      <c r="MYV33" s="713"/>
      <c r="MYW33" s="713"/>
      <c r="MYX33" s="713"/>
      <c r="MYY33" s="713"/>
      <c r="MYZ33" s="713"/>
      <c r="MZA33" s="713"/>
      <c r="MZB33" s="713"/>
      <c r="MZC33" s="713"/>
      <c r="MZD33" s="713"/>
      <c r="MZE33" s="713"/>
      <c r="MZF33" s="713"/>
      <c r="MZG33" s="713"/>
      <c r="MZH33" s="713"/>
      <c r="MZI33" s="713"/>
      <c r="MZJ33" s="713"/>
      <c r="MZK33" s="713"/>
      <c r="MZL33" s="713"/>
      <c r="MZM33" s="713"/>
      <c r="MZN33" s="713"/>
      <c r="MZO33" s="713"/>
      <c r="MZP33" s="713"/>
      <c r="MZQ33" s="713"/>
      <c r="MZR33" s="713"/>
      <c r="MZS33" s="713"/>
      <c r="MZT33" s="713"/>
      <c r="MZU33" s="713"/>
      <c r="MZV33" s="713"/>
      <c r="MZW33" s="713"/>
      <c r="MZX33" s="713"/>
      <c r="MZY33" s="713"/>
      <c r="MZZ33" s="713"/>
      <c r="NAA33" s="713"/>
      <c r="NAB33" s="713"/>
      <c r="NAC33" s="713"/>
      <c r="NAD33" s="713"/>
      <c r="NAE33" s="713"/>
      <c r="NAF33" s="713"/>
      <c r="NAG33" s="713"/>
      <c r="NAH33" s="713"/>
      <c r="NAI33" s="713"/>
      <c r="NAJ33" s="713"/>
      <c r="NAK33" s="713"/>
      <c r="NAL33" s="713"/>
      <c r="NAM33" s="713"/>
      <c r="NAN33" s="713"/>
      <c r="NAO33" s="713"/>
      <c r="NAP33" s="713"/>
      <c r="NAQ33" s="713"/>
      <c r="NAR33" s="713"/>
      <c r="NAS33" s="713"/>
      <c r="NAT33" s="713"/>
      <c r="NAU33" s="713"/>
      <c r="NAV33" s="713"/>
      <c r="NAW33" s="713"/>
      <c r="NAX33" s="713"/>
      <c r="NAY33" s="713"/>
      <c r="NAZ33" s="713"/>
      <c r="NBA33" s="713"/>
      <c r="NBB33" s="713"/>
      <c r="NBC33" s="713"/>
      <c r="NBD33" s="713"/>
      <c r="NBE33" s="713"/>
      <c r="NBF33" s="713"/>
      <c r="NBG33" s="713"/>
      <c r="NBH33" s="713"/>
      <c r="NBI33" s="713"/>
      <c r="NBJ33" s="713"/>
      <c r="NBK33" s="713"/>
      <c r="NBL33" s="713"/>
      <c r="NBM33" s="713"/>
      <c r="NBN33" s="713"/>
      <c r="NBO33" s="713"/>
      <c r="NBP33" s="713"/>
      <c r="NBQ33" s="713"/>
      <c r="NBR33" s="713"/>
      <c r="NBS33" s="713"/>
      <c r="NBT33" s="713"/>
      <c r="NBU33" s="713"/>
      <c r="NBV33" s="713"/>
      <c r="NBW33" s="713"/>
      <c r="NBX33" s="713"/>
      <c r="NBY33" s="713"/>
      <c r="NBZ33" s="713"/>
      <c r="NCA33" s="713"/>
      <c r="NCB33" s="713"/>
      <c r="NCC33" s="713"/>
      <c r="NCD33" s="713"/>
      <c r="NCE33" s="713"/>
      <c r="NCF33" s="713"/>
      <c r="NCG33" s="713"/>
      <c r="NCH33" s="713"/>
      <c r="NCI33" s="713"/>
      <c r="NCJ33" s="713"/>
      <c r="NCK33" s="713"/>
      <c r="NCL33" s="713"/>
      <c r="NCM33" s="713"/>
      <c r="NCN33" s="713"/>
      <c r="NCO33" s="713"/>
      <c r="NCP33" s="713"/>
      <c r="NCQ33" s="713"/>
      <c r="NCR33" s="713"/>
      <c r="NCS33" s="713"/>
      <c r="NCT33" s="713"/>
      <c r="NCU33" s="713"/>
      <c r="NCV33" s="713"/>
      <c r="NCW33" s="713"/>
      <c r="NCX33" s="713"/>
      <c r="NCY33" s="713"/>
      <c r="NCZ33" s="713"/>
      <c r="NDA33" s="713"/>
      <c r="NDB33" s="713"/>
      <c r="NDC33" s="713"/>
      <c r="NDD33" s="713"/>
      <c r="NDE33" s="713"/>
      <c r="NDF33" s="713"/>
      <c r="NDG33" s="713"/>
      <c r="NDH33" s="713"/>
      <c r="NDI33" s="713"/>
      <c r="NDJ33" s="713"/>
      <c r="NDK33" s="713"/>
      <c r="NDL33" s="713"/>
      <c r="NDM33" s="713"/>
      <c r="NDN33" s="713"/>
      <c r="NDO33" s="713"/>
      <c r="NDP33" s="713"/>
      <c r="NDQ33" s="713"/>
      <c r="NDR33" s="713"/>
      <c r="NDS33" s="713"/>
      <c r="NDT33" s="713"/>
      <c r="NDU33" s="713"/>
      <c r="NDV33" s="713"/>
      <c r="NDW33" s="713"/>
      <c r="NDX33" s="713"/>
      <c r="NDY33" s="713"/>
      <c r="NDZ33" s="713"/>
      <c r="NEA33" s="713"/>
      <c r="NEB33" s="713"/>
      <c r="NEC33" s="713"/>
      <c r="NED33" s="713"/>
      <c r="NEE33" s="713"/>
      <c r="NEF33" s="713"/>
      <c r="NEG33" s="713"/>
      <c r="NEH33" s="713"/>
      <c r="NEI33" s="713"/>
      <c r="NEJ33" s="713"/>
      <c r="NEK33" s="713"/>
      <c r="NEL33" s="713"/>
      <c r="NEM33" s="713"/>
      <c r="NEN33" s="713"/>
      <c r="NEO33" s="713"/>
      <c r="NEP33" s="713"/>
      <c r="NEQ33" s="713"/>
      <c r="NER33" s="713"/>
      <c r="NES33" s="713"/>
      <c r="NET33" s="713"/>
      <c r="NEU33" s="713"/>
      <c r="NEV33" s="713"/>
      <c r="NEW33" s="713"/>
      <c r="NEX33" s="713"/>
      <c r="NEY33" s="713"/>
      <c r="NEZ33" s="713"/>
      <c r="NFA33" s="713"/>
      <c r="NFB33" s="713"/>
      <c r="NFC33" s="713"/>
      <c r="NFD33" s="713"/>
      <c r="NFE33" s="713"/>
      <c r="NFF33" s="713"/>
      <c r="NFG33" s="713"/>
      <c r="NFH33" s="713"/>
      <c r="NFI33" s="713"/>
      <c r="NFJ33" s="713"/>
      <c r="NFK33" s="713"/>
      <c r="NFL33" s="713"/>
      <c r="NFM33" s="713"/>
      <c r="NFN33" s="713"/>
      <c r="NFO33" s="713"/>
      <c r="NFP33" s="713"/>
      <c r="NFQ33" s="713"/>
      <c r="NFR33" s="713"/>
      <c r="NFS33" s="713"/>
      <c r="NFT33" s="713"/>
      <c r="NFU33" s="713"/>
      <c r="NFV33" s="713"/>
      <c r="NFW33" s="713"/>
      <c r="NFX33" s="713"/>
      <c r="NFY33" s="713"/>
      <c r="NFZ33" s="713"/>
      <c r="NGA33" s="713"/>
      <c r="NGB33" s="713"/>
      <c r="NGC33" s="713"/>
      <c r="NGD33" s="713"/>
      <c r="NGE33" s="713"/>
      <c r="NGF33" s="713"/>
      <c r="NGG33" s="713"/>
      <c r="NGH33" s="713"/>
      <c r="NGI33" s="713"/>
      <c r="NGJ33" s="713"/>
      <c r="NGK33" s="713"/>
      <c r="NGL33" s="713"/>
      <c r="NGM33" s="713"/>
      <c r="NGN33" s="713"/>
      <c r="NGO33" s="713"/>
      <c r="NGP33" s="713"/>
      <c r="NGQ33" s="713"/>
      <c r="NGR33" s="713"/>
      <c r="NGS33" s="713"/>
      <c r="NGT33" s="713"/>
      <c r="NGU33" s="713"/>
      <c r="NGV33" s="713"/>
      <c r="NGW33" s="713"/>
      <c r="NGX33" s="713"/>
      <c r="NGY33" s="713"/>
      <c r="NGZ33" s="713"/>
      <c r="NHA33" s="713"/>
      <c r="NHB33" s="713"/>
      <c r="NHC33" s="713"/>
      <c r="NHD33" s="713"/>
      <c r="NHE33" s="713"/>
      <c r="NHF33" s="713"/>
      <c r="NHG33" s="713"/>
      <c r="NHH33" s="713"/>
      <c r="NHI33" s="713"/>
      <c r="NHJ33" s="713"/>
      <c r="NHK33" s="713"/>
      <c r="NHL33" s="713"/>
      <c r="NHM33" s="713"/>
      <c r="NHN33" s="713"/>
      <c r="NHO33" s="713"/>
      <c r="NHP33" s="713"/>
      <c r="NHQ33" s="713"/>
      <c r="NHR33" s="713"/>
      <c r="NHS33" s="713"/>
      <c r="NHT33" s="713"/>
      <c r="NHU33" s="713"/>
      <c r="NHV33" s="713"/>
      <c r="NHW33" s="713"/>
      <c r="NHX33" s="713"/>
      <c r="NHY33" s="713"/>
      <c r="NHZ33" s="713"/>
      <c r="NIA33" s="713"/>
      <c r="NIB33" s="713"/>
      <c r="NIC33" s="713"/>
      <c r="NID33" s="713"/>
      <c r="NIE33" s="713"/>
      <c r="NIF33" s="713"/>
      <c r="NIG33" s="713"/>
      <c r="NIH33" s="713"/>
      <c r="NII33" s="713"/>
      <c r="NIJ33" s="713"/>
      <c r="NIK33" s="713"/>
      <c r="NIL33" s="713"/>
      <c r="NIM33" s="713"/>
      <c r="NIN33" s="713"/>
      <c r="NIO33" s="713"/>
      <c r="NIP33" s="713"/>
      <c r="NIQ33" s="713"/>
      <c r="NIR33" s="713"/>
      <c r="NIS33" s="713"/>
      <c r="NIT33" s="713"/>
      <c r="NIU33" s="713"/>
      <c r="NIV33" s="713"/>
      <c r="NIW33" s="713"/>
      <c r="NIX33" s="713"/>
      <c r="NIY33" s="713"/>
      <c r="NIZ33" s="713"/>
      <c r="NJA33" s="713"/>
      <c r="NJB33" s="713"/>
      <c r="NJC33" s="713"/>
      <c r="NJD33" s="713"/>
      <c r="NJE33" s="713"/>
      <c r="NJF33" s="713"/>
      <c r="NJG33" s="713"/>
      <c r="NJH33" s="713"/>
      <c r="NJI33" s="713"/>
      <c r="NJJ33" s="713"/>
      <c r="NJK33" s="713"/>
      <c r="NJL33" s="713"/>
      <c r="NJM33" s="713"/>
      <c r="NJN33" s="713"/>
      <c r="NJO33" s="713"/>
      <c r="NJP33" s="713"/>
      <c r="NJQ33" s="713"/>
      <c r="NJR33" s="713"/>
      <c r="NJS33" s="713"/>
      <c r="NJT33" s="713"/>
      <c r="NJU33" s="713"/>
      <c r="NJV33" s="713"/>
      <c r="NJW33" s="713"/>
      <c r="NJX33" s="713"/>
      <c r="NJY33" s="713"/>
      <c r="NJZ33" s="713"/>
      <c r="NKA33" s="713"/>
      <c r="NKB33" s="713"/>
      <c r="NKC33" s="713"/>
      <c r="NKD33" s="713"/>
      <c r="NKE33" s="713"/>
      <c r="NKF33" s="713"/>
      <c r="NKG33" s="713"/>
      <c r="NKH33" s="713"/>
      <c r="NKI33" s="713"/>
      <c r="NKJ33" s="713"/>
      <c r="NKK33" s="713"/>
      <c r="NKL33" s="713"/>
      <c r="NKM33" s="713"/>
      <c r="NKN33" s="713"/>
      <c r="NKO33" s="713"/>
      <c r="NKP33" s="713"/>
      <c r="NKQ33" s="713"/>
      <c r="NKR33" s="713"/>
      <c r="NKS33" s="713"/>
      <c r="NKT33" s="713"/>
      <c r="NKU33" s="713"/>
      <c r="NKV33" s="713"/>
      <c r="NKW33" s="713"/>
      <c r="NKX33" s="713"/>
      <c r="NKY33" s="713"/>
      <c r="NKZ33" s="713"/>
      <c r="NLA33" s="713"/>
      <c r="NLB33" s="713"/>
      <c r="NLC33" s="713"/>
      <c r="NLD33" s="713"/>
      <c r="NLE33" s="713"/>
      <c r="NLF33" s="713"/>
      <c r="NLG33" s="713"/>
      <c r="NLH33" s="713"/>
      <c r="NLI33" s="713"/>
      <c r="NLJ33" s="713"/>
      <c r="NLK33" s="713"/>
      <c r="NLL33" s="713"/>
      <c r="NLM33" s="713"/>
      <c r="NLN33" s="713"/>
      <c r="NLO33" s="713"/>
      <c r="NLP33" s="713"/>
      <c r="NLQ33" s="713"/>
      <c r="NLR33" s="713"/>
      <c r="NLS33" s="713"/>
      <c r="NLT33" s="713"/>
      <c r="NLU33" s="713"/>
      <c r="NLV33" s="713"/>
      <c r="NLW33" s="713"/>
      <c r="NLX33" s="713"/>
      <c r="NLY33" s="713"/>
      <c r="NLZ33" s="713"/>
      <c r="NMA33" s="713"/>
      <c r="NMB33" s="713"/>
      <c r="NMC33" s="713"/>
      <c r="NMD33" s="713"/>
      <c r="NME33" s="713"/>
      <c r="NMF33" s="713"/>
      <c r="NMG33" s="713"/>
      <c r="NMH33" s="713"/>
      <c r="NMI33" s="713"/>
      <c r="NMJ33" s="713"/>
      <c r="NMK33" s="713"/>
      <c r="NML33" s="713"/>
      <c r="NMM33" s="713"/>
      <c r="NMN33" s="713"/>
      <c r="NMO33" s="713"/>
      <c r="NMP33" s="713"/>
      <c r="NMQ33" s="713"/>
      <c r="NMR33" s="713"/>
      <c r="NMS33" s="713"/>
      <c r="NMT33" s="713"/>
      <c r="NMU33" s="713"/>
      <c r="NMV33" s="713"/>
      <c r="NMW33" s="713"/>
      <c r="NMX33" s="713"/>
      <c r="NMY33" s="713"/>
      <c r="NMZ33" s="713"/>
      <c r="NNA33" s="713"/>
      <c r="NNB33" s="713"/>
      <c r="NNC33" s="713"/>
      <c r="NND33" s="713"/>
      <c r="NNE33" s="713"/>
      <c r="NNF33" s="713"/>
      <c r="NNG33" s="713"/>
      <c r="NNH33" s="713"/>
      <c r="NNI33" s="713"/>
      <c r="NNJ33" s="713"/>
      <c r="NNK33" s="713"/>
      <c r="NNL33" s="713"/>
      <c r="NNM33" s="713"/>
      <c r="NNN33" s="713"/>
      <c r="NNO33" s="713"/>
      <c r="NNP33" s="713"/>
      <c r="NNQ33" s="713"/>
      <c r="NNR33" s="713"/>
      <c r="NNS33" s="713"/>
      <c r="NNT33" s="713"/>
      <c r="NNU33" s="713"/>
      <c r="NNV33" s="713"/>
      <c r="NNW33" s="713"/>
      <c r="NNX33" s="713"/>
      <c r="NNY33" s="713"/>
      <c r="NNZ33" s="713"/>
      <c r="NOA33" s="713"/>
      <c r="NOB33" s="713"/>
      <c r="NOC33" s="713"/>
      <c r="NOD33" s="713"/>
      <c r="NOE33" s="713"/>
      <c r="NOF33" s="713"/>
      <c r="NOG33" s="713"/>
      <c r="NOH33" s="713"/>
      <c r="NOI33" s="713"/>
      <c r="NOJ33" s="713"/>
      <c r="NOK33" s="713"/>
      <c r="NOL33" s="713"/>
      <c r="NOM33" s="713"/>
      <c r="NON33" s="713"/>
      <c r="NOO33" s="713"/>
      <c r="NOP33" s="713"/>
      <c r="NOQ33" s="713"/>
      <c r="NOR33" s="713"/>
      <c r="NOS33" s="713"/>
      <c r="NOT33" s="713"/>
      <c r="NOU33" s="713"/>
      <c r="NOV33" s="713"/>
      <c r="NOW33" s="713"/>
      <c r="NOX33" s="713"/>
      <c r="NOY33" s="713"/>
      <c r="NOZ33" s="713"/>
      <c r="NPA33" s="713"/>
      <c r="NPB33" s="713"/>
      <c r="NPC33" s="713"/>
      <c r="NPD33" s="713"/>
      <c r="NPE33" s="713"/>
      <c r="NPF33" s="713"/>
      <c r="NPG33" s="713"/>
      <c r="NPH33" s="713"/>
      <c r="NPI33" s="713"/>
      <c r="NPJ33" s="713"/>
      <c r="NPK33" s="713"/>
      <c r="NPL33" s="713"/>
      <c r="NPM33" s="713"/>
      <c r="NPN33" s="713"/>
      <c r="NPO33" s="713"/>
      <c r="NPP33" s="713"/>
      <c r="NPQ33" s="713"/>
      <c r="NPR33" s="713"/>
      <c r="NPS33" s="713"/>
      <c r="NPT33" s="713"/>
      <c r="NPU33" s="713"/>
      <c r="NPV33" s="713"/>
      <c r="NPW33" s="713"/>
      <c r="NPX33" s="713"/>
      <c r="NPY33" s="713"/>
      <c r="NPZ33" s="713"/>
      <c r="NQA33" s="713"/>
      <c r="NQB33" s="713"/>
      <c r="NQC33" s="713"/>
      <c r="NQD33" s="713"/>
      <c r="NQE33" s="713"/>
      <c r="NQF33" s="713"/>
      <c r="NQG33" s="713"/>
      <c r="NQH33" s="713"/>
      <c r="NQI33" s="713"/>
      <c r="NQJ33" s="713"/>
      <c r="NQK33" s="713"/>
      <c r="NQL33" s="713"/>
      <c r="NQM33" s="713"/>
      <c r="NQN33" s="713"/>
      <c r="NQO33" s="713"/>
      <c r="NQP33" s="713"/>
      <c r="NQQ33" s="713"/>
      <c r="NQR33" s="713"/>
      <c r="NQS33" s="713"/>
      <c r="NQT33" s="713"/>
      <c r="NQU33" s="713"/>
      <c r="NQV33" s="713"/>
      <c r="NQW33" s="713"/>
      <c r="NQX33" s="713"/>
      <c r="NQY33" s="713"/>
      <c r="NQZ33" s="713"/>
      <c r="NRA33" s="713"/>
      <c r="NRB33" s="713"/>
      <c r="NRC33" s="713"/>
      <c r="NRD33" s="713"/>
      <c r="NRE33" s="713"/>
      <c r="NRF33" s="713"/>
      <c r="NRG33" s="713"/>
      <c r="NRH33" s="713"/>
      <c r="NRI33" s="713"/>
      <c r="NRJ33" s="713"/>
      <c r="NRK33" s="713"/>
      <c r="NRL33" s="713"/>
      <c r="NRM33" s="713"/>
      <c r="NRN33" s="713"/>
      <c r="NRO33" s="713"/>
      <c r="NRP33" s="713"/>
      <c r="NRQ33" s="713"/>
      <c r="NRR33" s="713"/>
      <c r="NRS33" s="713"/>
      <c r="NRT33" s="713"/>
      <c r="NRU33" s="713"/>
      <c r="NRV33" s="713"/>
      <c r="NRW33" s="713"/>
      <c r="NRX33" s="713"/>
      <c r="NRY33" s="713"/>
      <c r="NRZ33" s="713"/>
      <c r="NSA33" s="713"/>
      <c r="NSB33" s="713"/>
      <c r="NSC33" s="713"/>
      <c r="NSD33" s="713"/>
      <c r="NSE33" s="713"/>
      <c r="NSF33" s="713"/>
      <c r="NSG33" s="713"/>
      <c r="NSH33" s="713"/>
      <c r="NSI33" s="713"/>
      <c r="NSJ33" s="713"/>
      <c r="NSK33" s="713"/>
      <c r="NSL33" s="713"/>
      <c r="NSM33" s="713"/>
      <c r="NSN33" s="713"/>
      <c r="NSO33" s="713"/>
      <c r="NSP33" s="713"/>
      <c r="NSQ33" s="713"/>
      <c r="NSR33" s="713"/>
      <c r="NSS33" s="713"/>
      <c r="NST33" s="713"/>
      <c r="NSU33" s="713"/>
      <c r="NSV33" s="713"/>
      <c r="NSW33" s="713"/>
      <c r="NSX33" s="713"/>
      <c r="NSY33" s="713"/>
      <c r="NSZ33" s="713"/>
      <c r="NTA33" s="713"/>
      <c r="NTB33" s="713"/>
      <c r="NTC33" s="713"/>
      <c r="NTD33" s="713"/>
      <c r="NTE33" s="713"/>
      <c r="NTF33" s="713"/>
      <c r="NTG33" s="713"/>
      <c r="NTH33" s="713"/>
      <c r="NTI33" s="713"/>
      <c r="NTJ33" s="713"/>
      <c r="NTK33" s="713"/>
      <c r="NTL33" s="713"/>
      <c r="NTM33" s="713"/>
      <c r="NTN33" s="713"/>
      <c r="NTO33" s="713"/>
      <c r="NTP33" s="713"/>
      <c r="NTQ33" s="713"/>
      <c r="NTR33" s="713"/>
      <c r="NTS33" s="713"/>
      <c r="NTT33" s="713"/>
      <c r="NTU33" s="713"/>
      <c r="NTV33" s="713"/>
      <c r="NTW33" s="713"/>
      <c r="NTX33" s="713"/>
      <c r="NTY33" s="713"/>
      <c r="NTZ33" s="713"/>
      <c r="NUA33" s="713"/>
      <c r="NUB33" s="713"/>
      <c r="NUC33" s="713"/>
      <c r="NUD33" s="713"/>
      <c r="NUE33" s="713"/>
      <c r="NUF33" s="713"/>
      <c r="NUG33" s="713"/>
      <c r="NUH33" s="713"/>
      <c r="NUI33" s="713"/>
      <c r="NUJ33" s="713"/>
      <c r="NUK33" s="713"/>
      <c r="NUL33" s="713"/>
      <c r="NUM33" s="713"/>
      <c r="NUN33" s="713"/>
      <c r="NUO33" s="713"/>
      <c r="NUP33" s="713"/>
      <c r="NUQ33" s="713"/>
      <c r="NUR33" s="713"/>
      <c r="NUS33" s="713"/>
      <c r="NUT33" s="713"/>
      <c r="NUU33" s="713"/>
      <c r="NUV33" s="713"/>
      <c r="NUW33" s="713"/>
      <c r="NUX33" s="713"/>
      <c r="NUY33" s="713"/>
      <c r="NUZ33" s="713"/>
      <c r="NVA33" s="713"/>
      <c r="NVB33" s="713"/>
      <c r="NVC33" s="713"/>
      <c r="NVD33" s="713"/>
      <c r="NVE33" s="713"/>
      <c r="NVF33" s="713"/>
      <c r="NVG33" s="713"/>
      <c r="NVH33" s="713"/>
      <c r="NVI33" s="713"/>
      <c r="NVJ33" s="713"/>
      <c r="NVK33" s="713"/>
      <c r="NVL33" s="713"/>
      <c r="NVM33" s="713"/>
      <c r="NVN33" s="713"/>
      <c r="NVO33" s="713"/>
      <c r="NVP33" s="713"/>
      <c r="NVQ33" s="713"/>
      <c r="NVR33" s="713"/>
      <c r="NVS33" s="713"/>
      <c r="NVT33" s="713"/>
      <c r="NVU33" s="713"/>
      <c r="NVV33" s="713"/>
      <c r="NVW33" s="713"/>
      <c r="NVX33" s="713"/>
      <c r="NVY33" s="713"/>
      <c r="NVZ33" s="713"/>
      <c r="NWA33" s="713"/>
      <c r="NWB33" s="713"/>
      <c r="NWC33" s="713"/>
      <c r="NWD33" s="713"/>
      <c r="NWE33" s="713"/>
      <c r="NWF33" s="713"/>
      <c r="NWG33" s="713"/>
      <c r="NWH33" s="713"/>
      <c r="NWI33" s="713"/>
      <c r="NWJ33" s="713"/>
      <c r="NWK33" s="713"/>
      <c r="NWL33" s="713"/>
      <c r="NWM33" s="713"/>
      <c r="NWN33" s="713"/>
      <c r="NWO33" s="713"/>
      <c r="NWP33" s="713"/>
      <c r="NWQ33" s="713"/>
      <c r="NWR33" s="713"/>
      <c r="NWS33" s="713"/>
      <c r="NWT33" s="713"/>
      <c r="NWU33" s="713"/>
      <c r="NWV33" s="713"/>
      <c r="NWW33" s="713"/>
      <c r="NWX33" s="713"/>
      <c r="NWY33" s="713"/>
      <c r="NWZ33" s="713"/>
      <c r="NXA33" s="713"/>
      <c r="NXB33" s="713"/>
      <c r="NXC33" s="713"/>
      <c r="NXD33" s="713"/>
      <c r="NXE33" s="713"/>
      <c r="NXF33" s="713"/>
      <c r="NXG33" s="713"/>
      <c r="NXH33" s="713"/>
      <c r="NXI33" s="713"/>
      <c r="NXJ33" s="713"/>
      <c r="NXK33" s="713"/>
      <c r="NXL33" s="713"/>
      <c r="NXM33" s="713"/>
      <c r="NXN33" s="713"/>
      <c r="NXO33" s="713"/>
      <c r="NXP33" s="713"/>
      <c r="NXQ33" s="713"/>
      <c r="NXR33" s="713"/>
      <c r="NXS33" s="713"/>
      <c r="NXT33" s="713"/>
      <c r="NXU33" s="713"/>
      <c r="NXV33" s="713"/>
      <c r="NXW33" s="713"/>
      <c r="NXX33" s="713"/>
      <c r="NXY33" s="713"/>
      <c r="NXZ33" s="713"/>
      <c r="NYA33" s="713"/>
      <c r="NYB33" s="713"/>
      <c r="NYC33" s="713"/>
      <c r="NYD33" s="713"/>
      <c r="NYE33" s="713"/>
      <c r="NYF33" s="713"/>
      <c r="NYG33" s="713"/>
      <c r="NYH33" s="713"/>
      <c r="NYI33" s="713"/>
      <c r="NYJ33" s="713"/>
      <c r="NYK33" s="713"/>
      <c r="NYL33" s="713"/>
      <c r="NYM33" s="713"/>
      <c r="NYN33" s="713"/>
      <c r="NYO33" s="713"/>
      <c r="NYP33" s="713"/>
      <c r="NYQ33" s="713"/>
      <c r="NYR33" s="713"/>
      <c r="NYS33" s="713"/>
      <c r="NYT33" s="713"/>
      <c r="NYU33" s="713"/>
      <c r="NYV33" s="713"/>
      <c r="NYW33" s="713"/>
      <c r="NYX33" s="713"/>
      <c r="NYY33" s="713"/>
      <c r="NYZ33" s="713"/>
      <c r="NZA33" s="713"/>
      <c r="NZB33" s="713"/>
      <c r="NZC33" s="713"/>
      <c r="NZD33" s="713"/>
      <c r="NZE33" s="713"/>
      <c r="NZF33" s="713"/>
      <c r="NZG33" s="713"/>
      <c r="NZH33" s="713"/>
      <c r="NZI33" s="713"/>
      <c r="NZJ33" s="713"/>
      <c r="NZK33" s="713"/>
      <c r="NZL33" s="713"/>
      <c r="NZM33" s="713"/>
      <c r="NZN33" s="713"/>
      <c r="NZO33" s="713"/>
      <c r="NZP33" s="713"/>
      <c r="NZQ33" s="713"/>
      <c r="NZR33" s="713"/>
      <c r="NZS33" s="713"/>
      <c r="NZT33" s="713"/>
      <c r="NZU33" s="713"/>
      <c r="NZV33" s="713"/>
      <c r="NZW33" s="713"/>
      <c r="NZX33" s="713"/>
      <c r="NZY33" s="713"/>
      <c r="NZZ33" s="713"/>
      <c r="OAA33" s="713"/>
      <c r="OAB33" s="713"/>
      <c r="OAC33" s="713"/>
      <c r="OAD33" s="713"/>
      <c r="OAE33" s="713"/>
      <c r="OAF33" s="713"/>
      <c r="OAG33" s="713"/>
      <c r="OAH33" s="713"/>
      <c r="OAI33" s="713"/>
      <c r="OAJ33" s="713"/>
      <c r="OAK33" s="713"/>
      <c r="OAL33" s="713"/>
      <c r="OAM33" s="713"/>
      <c r="OAN33" s="713"/>
      <c r="OAO33" s="713"/>
      <c r="OAP33" s="713"/>
      <c r="OAQ33" s="713"/>
      <c r="OAR33" s="713"/>
      <c r="OAS33" s="713"/>
      <c r="OAT33" s="713"/>
      <c r="OAU33" s="713"/>
      <c r="OAV33" s="713"/>
      <c r="OAW33" s="713"/>
      <c r="OAX33" s="713"/>
      <c r="OAY33" s="713"/>
      <c r="OAZ33" s="713"/>
      <c r="OBA33" s="713"/>
      <c r="OBB33" s="713"/>
      <c r="OBC33" s="713"/>
      <c r="OBD33" s="713"/>
      <c r="OBE33" s="713"/>
      <c r="OBF33" s="713"/>
      <c r="OBG33" s="713"/>
      <c r="OBH33" s="713"/>
      <c r="OBI33" s="713"/>
      <c r="OBJ33" s="713"/>
      <c r="OBK33" s="713"/>
      <c r="OBL33" s="713"/>
      <c r="OBM33" s="713"/>
      <c r="OBN33" s="713"/>
      <c r="OBO33" s="713"/>
      <c r="OBP33" s="713"/>
      <c r="OBQ33" s="713"/>
      <c r="OBR33" s="713"/>
      <c r="OBS33" s="713"/>
      <c r="OBT33" s="713"/>
      <c r="OBU33" s="713"/>
      <c r="OBV33" s="713"/>
      <c r="OBW33" s="713"/>
      <c r="OBX33" s="713"/>
      <c r="OBY33" s="713"/>
      <c r="OBZ33" s="713"/>
      <c r="OCA33" s="713"/>
      <c r="OCB33" s="713"/>
      <c r="OCC33" s="713"/>
      <c r="OCD33" s="713"/>
      <c r="OCE33" s="713"/>
      <c r="OCF33" s="713"/>
      <c r="OCG33" s="713"/>
      <c r="OCH33" s="713"/>
      <c r="OCI33" s="713"/>
      <c r="OCJ33" s="713"/>
      <c r="OCK33" s="713"/>
      <c r="OCL33" s="713"/>
      <c r="OCM33" s="713"/>
      <c r="OCN33" s="713"/>
      <c r="OCO33" s="713"/>
      <c r="OCP33" s="713"/>
      <c r="OCQ33" s="713"/>
      <c r="OCR33" s="713"/>
      <c r="OCS33" s="713"/>
      <c r="OCT33" s="713"/>
      <c r="OCU33" s="713"/>
      <c r="OCV33" s="713"/>
      <c r="OCW33" s="713"/>
      <c r="OCX33" s="713"/>
      <c r="OCY33" s="713"/>
      <c r="OCZ33" s="713"/>
      <c r="ODA33" s="713"/>
      <c r="ODB33" s="713"/>
      <c r="ODC33" s="713"/>
      <c r="ODD33" s="713"/>
      <c r="ODE33" s="713"/>
      <c r="ODF33" s="713"/>
      <c r="ODG33" s="713"/>
      <c r="ODH33" s="713"/>
      <c r="ODI33" s="713"/>
      <c r="ODJ33" s="713"/>
      <c r="ODK33" s="713"/>
      <c r="ODL33" s="713"/>
      <c r="ODM33" s="713"/>
      <c r="ODN33" s="713"/>
      <c r="ODO33" s="713"/>
      <c r="ODP33" s="713"/>
      <c r="ODQ33" s="713"/>
      <c r="ODR33" s="713"/>
      <c r="ODS33" s="713"/>
      <c r="ODT33" s="713"/>
      <c r="ODU33" s="713"/>
      <c r="ODV33" s="713"/>
      <c r="ODW33" s="713"/>
      <c r="ODX33" s="713"/>
      <c r="ODY33" s="713"/>
      <c r="ODZ33" s="713"/>
      <c r="OEA33" s="713"/>
      <c r="OEB33" s="713"/>
      <c r="OEC33" s="713"/>
      <c r="OED33" s="713"/>
      <c r="OEE33" s="713"/>
      <c r="OEF33" s="713"/>
      <c r="OEG33" s="713"/>
      <c r="OEH33" s="713"/>
      <c r="OEI33" s="713"/>
      <c r="OEJ33" s="713"/>
      <c r="OEK33" s="713"/>
      <c r="OEL33" s="713"/>
      <c r="OEM33" s="713"/>
      <c r="OEN33" s="713"/>
      <c r="OEO33" s="713"/>
      <c r="OEP33" s="713"/>
      <c r="OEQ33" s="713"/>
      <c r="OER33" s="713"/>
      <c r="OES33" s="713"/>
      <c r="OET33" s="713"/>
      <c r="OEU33" s="713"/>
      <c r="OEV33" s="713"/>
      <c r="OEW33" s="713"/>
      <c r="OEX33" s="713"/>
      <c r="OEY33" s="713"/>
      <c r="OEZ33" s="713"/>
      <c r="OFA33" s="713"/>
      <c r="OFB33" s="713"/>
      <c r="OFC33" s="713"/>
      <c r="OFD33" s="713"/>
      <c r="OFE33" s="713"/>
      <c r="OFF33" s="713"/>
      <c r="OFG33" s="713"/>
      <c r="OFH33" s="713"/>
      <c r="OFI33" s="713"/>
      <c r="OFJ33" s="713"/>
      <c r="OFK33" s="713"/>
      <c r="OFL33" s="713"/>
      <c r="OFM33" s="713"/>
      <c r="OFN33" s="713"/>
      <c r="OFO33" s="713"/>
      <c r="OFP33" s="713"/>
      <c r="OFQ33" s="713"/>
      <c r="OFR33" s="713"/>
      <c r="OFS33" s="713"/>
      <c r="OFT33" s="713"/>
      <c r="OFU33" s="713"/>
      <c r="OFV33" s="713"/>
      <c r="OFW33" s="713"/>
      <c r="OFX33" s="713"/>
      <c r="OFY33" s="713"/>
      <c r="OFZ33" s="713"/>
      <c r="OGA33" s="713"/>
      <c r="OGB33" s="713"/>
      <c r="OGC33" s="713"/>
      <c r="OGD33" s="713"/>
      <c r="OGE33" s="713"/>
      <c r="OGF33" s="713"/>
      <c r="OGG33" s="713"/>
      <c r="OGH33" s="713"/>
      <c r="OGI33" s="713"/>
      <c r="OGJ33" s="713"/>
      <c r="OGK33" s="713"/>
      <c r="OGL33" s="713"/>
      <c r="OGM33" s="713"/>
      <c r="OGN33" s="713"/>
      <c r="OGO33" s="713"/>
      <c r="OGP33" s="713"/>
      <c r="OGQ33" s="713"/>
      <c r="OGR33" s="713"/>
      <c r="OGS33" s="713"/>
      <c r="OGT33" s="713"/>
      <c r="OGU33" s="713"/>
      <c r="OGV33" s="713"/>
      <c r="OGW33" s="713"/>
      <c r="OGX33" s="713"/>
      <c r="OGY33" s="713"/>
      <c r="OGZ33" s="713"/>
      <c r="OHA33" s="713"/>
      <c r="OHB33" s="713"/>
      <c r="OHC33" s="713"/>
      <c r="OHD33" s="713"/>
      <c r="OHE33" s="713"/>
      <c r="OHF33" s="713"/>
      <c r="OHG33" s="713"/>
      <c r="OHH33" s="713"/>
      <c r="OHI33" s="713"/>
      <c r="OHJ33" s="713"/>
      <c r="OHK33" s="713"/>
      <c r="OHL33" s="713"/>
      <c r="OHM33" s="713"/>
      <c r="OHN33" s="713"/>
      <c r="OHO33" s="713"/>
      <c r="OHP33" s="713"/>
      <c r="OHQ33" s="713"/>
      <c r="OHR33" s="713"/>
      <c r="OHS33" s="713"/>
      <c r="OHT33" s="713"/>
      <c r="OHU33" s="713"/>
      <c r="OHV33" s="713"/>
      <c r="OHW33" s="713"/>
      <c r="OHX33" s="713"/>
      <c r="OHY33" s="713"/>
      <c r="OHZ33" s="713"/>
      <c r="OIA33" s="713"/>
      <c r="OIB33" s="713"/>
      <c r="OIC33" s="713"/>
      <c r="OID33" s="713"/>
      <c r="OIE33" s="713"/>
      <c r="OIF33" s="713"/>
      <c r="OIG33" s="713"/>
      <c r="OIH33" s="713"/>
      <c r="OII33" s="713"/>
      <c r="OIJ33" s="713"/>
      <c r="OIK33" s="713"/>
      <c r="OIL33" s="713"/>
      <c r="OIM33" s="713"/>
      <c r="OIN33" s="713"/>
      <c r="OIO33" s="713"/>
      <c r="OIP33" s="713"/>
      <c r="OIQ33" s="713"/>
      <c r="OIR33" s="713"/>
      <c r="OIS33" s="713"/>
      <c r="OIT33" s="713"/>
      <c r="OIU33" s="713"/>
      <c r="OIV33" s="713"/>
      <c r="OIW33" s="713"/>
      <c r="OIX33" s="713"/>
      <c r="OIY33" s="713"/>
      <c r="OIZ33" s="713"/>
      <c r="OJA33" s="713"/>
      <c r="OJB33" s="713"/>
      <c r="OJC33" s="713"/>
      <c r="OJD33" s="713"/>
      <c r="OJE33" s="713"/>
      <c r="OJF33" s="713"/>
      <c r="OJG33" s="713"/>
      <c r="OJH33" s="713"/>
      <c r="OJI33" s="713"/>
      <c r="OJJ33" s="713"/>
      <c r="OJK33" s="713"/>
      <c r="OJL33" s="713"/>
      <c r="OJM33" s="713"/>
      <c r="OJN33" s="713"/>
      <c r="OJO33" s="713"/>
      <c r="OJP33" s="713"/>
      <c r="OJQ33" s="713"/>
      <c r="OJR33" s="713"/>
      <c r="OJS33" s="713"/>
      <c r="OJT33" s="713"/>
      <c r="OJU33" s="713"/>
      <c r="OJV33" s="713"/>
      <c r="OJW33" s="713"/>
      <c r="OJX33" s="713"/>
      <c r="OJY33" s="713"/>
      <c r="OJZ33" s="713"/>
      <c r="OKA33" s="713"/>
      <c r="OKB33" s="713"/>
      <c r="OKC33" s="713"/>
      <c r="OKD33" s="713"/>
      <c r="OKE33" s="713"/>
      <c r="OKF33" s="713"/>
      <c r="OKG33" s="713"/>
      <c r="OKH33" s="713"/>
      <c r="OKI33" s="713"/>
      <c r="OKJ33" s="713"/>
      <c r="OKK33" s="713"/>
      <c r="OKL33" s="713"/>
      <c r="OKM33" s="713"/>
      <c r="OKN33" s="713"/>
      <c r="OKO33" s="713"/>
      <c r="OKP33" s="713"/>
      <c r="OKQ33" s="713"/>
      <c r="OKR33" s="713"/>
      <c r="OKS33" s="713"/>
      <c r="OKT33" s="713"/>
      <c r="OKU33" s="713"/>
      <c r="OKV33" s="713"/>
      <c r="OKW33" s="713"/>
      <c r="OKX33" s="713"/>
      <c r="OKY33" s="713"/>
      <c r="OKZ33" s="713"/>
      <c r="OLA33" s="713"/>
      <c r="OLB33" s="713"/>
      <c r="OLC33" s="713"/>
      <c r="OLD33" s="713"/>
      <c r="OLE33" s="713"/>
      <c r="OLF33" s="713"/>
      <c r="OLG33" s="713"/>
      <c r="OLH33" s="713"/>
      <c r="OLI33" s="713"/>
      <c r="OLJ33" s="713"/>
      <c r="OLK33" s="713"/>
      <c r="OLL33" s="713"/>
      <c r="OLM33" s="713"/>
      <c r="OLN33" s="713"/>
      <c r="OLO33" s="713"/>
      <c r="OLP33" s="713"/>
      <c r="OLQ33" s="713"/>
      <c r="OLR33" s="713"/>
      <c r="OLS33" s="713"/>
      <c r="OLT33" s="713"/>
      <c r="OLU33" s="713"/>
      <c r="OLV33" s="713"/>
      <c r="OLW33" s="713"/>
      <c r="OLX33" s="713"/>
      <c r="OLY33" s="713"/>
      <c r="OLZ33" s="713"/>
      <c r="OMA33" s="713"/>
      <c r="OMB33" s="713"/>
      <c r="OMC33" s="713"/>
      <c r="OMD33" s="713"/>
      <c r="OME33" s="713"/>
      <c r="OMF33" s="713"/>
      <c r="OMG33" s="713"/>
      <c r="OMH33" s="713"/>
      <c r="OMI33" s="713"/>
      <c r="OMJ33" s="713"/>
      <c r="OMK33" s="713"/>
      <c r="OML33" s="713"/>
      <c r="OMM33" s="713"/>
      <c r="OMN33" s="713"/>
      <c r="OMO33" s="713"/>
      <c r="OMP33" s="713"/>
      <c r="OMQ33" s="713"/>
      <c r="OMR33" s="713"/>
      <c r="OMS33" s="713"/>
      <c r="OMT33" s="713"/>
      <c r="OMU33" s="713"/>
      <c r="OMV33" s="713"/>
      <c r="OMW33" s="713"/>
      <c r="OMX33" s="713"/>
      <c r="OMY33" s="713"/>
      <c r="OMZ33" s="713"/>
      <c r="ONA33" s="713"/>
      <c r="ONB33" s="713"/>
      <c r="ONC33" s="713"/>
      <c r="OND33" s="713"/>
      <c r="ONE33" s="713"/>
      <c r="ONF33" s="713"/>
      <c r="ONG33" s="713"/>
      <c r="ONH33" s="713"/>
      <c r="ONI33" s="713"/>
      <c r="ONJ33" s="713"/>
      <c r="ONK33" s="713"/>
      <c r="ONL33" s="713"/>
      <c r="ONM33" s="713"/>
      <c r="ONN33" s="713"/>
      <c r="ONO33" s="713"/>
      <c r="ONP33" s="713"/>
      <c r="ONQ33" s="713"/>
      <c r="ONR33" s="713"/>
      <c r="ONS33" s="713"/>
      <c r="ONT33" s="713"/>
      <c r="ONU33" s="713"/>
      <c r="ONV33" s="713"/>
      <c r="ONW33" s="713"/>
      <c r="ONX33" s="713"/>
      <c r="ONY33" s="713"/>
      <c r="ONZ33" s="713"/>
      <c r="OOA33" s="713"/>
      <c r="OOB33" s="713"/>
      <c r="OOC33" s="713"/>
      <c r="OOD33" s="713"/>
      <c r="OOE33" s="713"/>
      <c r="OOF33" s="713"/>
      <c r="OOG33" s="713"/>
      <c r="OOH33" s="713"/>
      <c r="OOI33" s="713"/>
      <c r="OOJ33" s="713"/>
      <c r="OOK33" s="713"/>
      <c r="OOL33" s="713"/>
      <c r="OOM33" s="713"/>
      <c r="OON33" s="713"/>
      <c r="OOO33" s="713"/>
      <c r="OOP33" s="713"/>
      <c r="OOQ33" s="713"/>
      <c r="OOR33" s="713"/>
      <c r="OOS33" s="713"/>
      <c r="OOT33" s="713"/>
      <c r="OOU33" s="713"/>
      <c r="OOV33" s="713"/>
      <c r="OOW33" s="713"/>
      <c r="OOX33" s="713"/>
      <c r="OOY33" s="713"/>
      <c r="OOZ33" s="713"/>
      <c r="OPA33" s="713"/>
      <c r="OPB33" s="713"/>
      <c r="OPC33" s="713"/>
      <c r="OPD33" s="713"/>
      <c r="OPE33" s="713"/>
      <c r="OPF33" s="713"/>
      <c r="OPG33" s="713"/>
      <c r="OPH33" s="713"/>
      <c r="OPI33" s="713"/>
      <c r="OPJ33" s="713"/>
      <c r="OPK33" s="713"/>
      <c r="OPL33" s="713"/>
      <c r="OPM33" s="713"/>
      <c r="OPN33" s="713"/>
      <c r="OPO33" s="713"/>
      <c r="OPP33" s="713"/>
      <c r="OPQ33" s="713"/>
      <c r="OPR33" s="713"/>
      <c r="OPS33" s="713"/>
      <c r="OPT33" s="713"/>
      <c r="OPU33" s="713"/>
      <c r="OPV33" s="713"/>
      <c r="OPW33" s="713"/>
      <c r="OPX33" s="713"/>
      <c r="OPY33" s="713"/>
      <c r="OPZ33" s="713"/>
      <c r="OQA33" s="713"/>
      <c r="OQB33" s="713"/>
      <c r="OQC33" s="713"/>
      <c r="OQD33" s="713"/>
      <c r="OQE33" s="713"/>
      <c r="OQF33" s="713"/>
      <c r="OQG33" s="713"/>
      <c r="OQH33" s="713"/>
      <c r="OQI33" s="713"/>
      <c r="OQJ33" s="713"/>
      <c r="OQK33" s="713"/>
      <c r="OQL33" s="713"/>
      <c r="OQM33" s="713"/>
      <c r="OQN33" s="713"/>
      <c r="OQO33" s="713"/>
      <c r="OQP33" s="713"/>
      <c r="OQQ33" s="713"/>
      <c r="OQR33" s="713"/>
      <c r="OQS33" s="713"/>
      <c r="OQT33" s="713"/>
      <c r="OQU33" s="713"/>
      <c r="OQV33" s="713"/>
      <c r="OQW33" s="713"/>
      <c r="OQX33" s="713"/>
      <c r="OQY33" s="713"/>
      <c r="OQZ33" s="713"/>
      <c r="ORA33" s="713"/>
      <c r="ORB33" s="713"/>
      <c r="ORC33" s="713"/>
      <c r="ORD33" s="713"/>
      <c r="ORE33" s="713"/>
      <c r="ORF33" s="713"/>
      <c r="ORG33" s="713"/>
      <c r="ORH33" s="713"/>
      <c r="ORI33" s="713"/>
      <c r="ORJ33" s="713"/>
      <c r="ORK33" s="713"/>
      <c r="ORL33" s="713"/>
      <c r="ORM33" s="713"/>
      <c r="ORN33" s="713"/>
      <c r="ORO33" s="713"/>
      <c r="ORP33" s="713"/>
      <c r="ORQ33" s="713"/>
      <c r="ORR33" s="713"/>
      <c r="ORS33" s="713"/>
      <c r="ORT33" s="713"/>
      <c r="ORU33" s="713"/>
      <c r="ORV33" s="713"/>
      <c r="ORW33" s="713"/>
      <c r="ORX33" s="713"/>
      <c r="ORY33" s="713"/>
      <c r="ORZ33" s="713"/>
      <c r="OSA33" s="713"/>
      <c r="OSB33" s="713"/>
      <c r="OSC33" s="713"/>
      <c r="OSD33" s="713"/>
      <c r="OSE33" s="713"/>
      <c r="OSF33" s="713"/>
      <c r="OSG33" s="713"/>
      <c r="OSH33" s="713"/>
      <c r="OSI33" s="713"/>
      <c r="OSJ33" s="713"/>
      <c r="OSK33" s="713"/>
      <c r="OSL33" s="713"/>
      <c r="OSM33" s="713"/>
      <c r="OSN33" s="713"/>
      <c r="OSO33" s="713"/>
      <c r="OSP33" s="713"/>
      <c r="OSQ33" s="713"/>
      <c r="OSR33" s="713"/>
      <c r="OSS33" s="713"/>
      <c r="OST33" s="713"/>
      <c r="OSU33" s="713"/>
      <c r="OSV33" s="713"/>
      <c r="OSW33" s="713"/>
      <c r="OSX33" s="713"/>
      <c r="OSY33" s="713"/>
      <c r="OSZ33" s="713"/>
      <c r="OTA33" s="713"/>
      <c r="OTB33" s="713"/>
      <c r="OTC33" s="713"/>
      <c r="OTD33" s="713"/>
      <c r="OTE33" s="713"/>
      <c r="OTF33" s="713"/>
      <c r="OTG33" s="713"/>
      <c r="OTH33" s="713"/>
      <c r="OTI33" s="713"/>
      <c r="OTJ33" s="713"/>
      <c r="OTK33" s="713"/>
      <c r="OTL33" s="713"/>
      <c r="OTM33" s="713"/>
      <c r="OTN33" s="713"/>
      <c r="OTO33" s="713"/>
      <c r="OTP33" s="713"/>
      <c r="OTQ33" s="713"/>
      <c r="OTR33" s="713"/>
      <c r="OTS33" s="713"/>
      <c r="OTT33" s="713"/>
      <c r="OTU33" s="713"/>
      <c r="OTV33" s="713"/>
      <c r="OTW33" s="713"/>
      <c r="OTX33" s="713"/>
      <c r="OTY33" s="713"/>
      <c r="OTZ33" s="713"/>
      <c r="OUA33" s="713"/>
      <c r="OUB33" s="713"/>
      <c r="OUC33" s="713"/>
      <c r="OUD33" s="713"/>
      <c r="OUE33" s="713"/>
      <c r="OUF33" s="713"/>
      <c r="OUG33" s="713"/>
      <c r="OUH33" s="713"/>
      <c r="OUI33" s="713"/>
      <c r="OUJ33" s="713"/>
      <c r="OUK33" s="713"/>
      <c r="OUL33" s="713"/>
      <c r="OUM33" s="713"/>
      <c r="OUN33" s="713"/>
      <c r="OUO33" s="713"/>
      <c r="OUP33" s="713"/>
      <c r="OUQ33" s="713"/>
      <c r="OUR33" s="713"/>
      <c r="OUS33" s="713"/>
      <c r="OUT33" s="713"/>
      <c r="OUU33" s="713"/>
      <c r="OUV33" s="713"/>
      <c r="OUW33" s="713"/>
      <c r="OUX33" s="713"/>
      <c r="OUY33" s="713"/>
      <c r="OUZ33" s="713"/>
      <c r="OVA33" s="713"/>
      <c r="OVB33" s="713"/>
      <c r="OVC33" s="713"/>
      <c r="OVD33" s="713"/>
      <c r="OVE33" s="713"/>
      <c r="OVF33" s="713"/>
      <c r="OVG33" s="713"/>
      <c r="OVH33" s="713"/>
      <c r="OVI33" s="713"/>
      <c r="OVJ33" s="713"/>
      <c r="OVK33" s="713"/>
      <c r="OVL33" s="713"/>
      <c r="OVM33" s="713"/>
      <c r="OVN33" s="713"/>
      <c r="OVO33" s="713"/>
      <c r="OVP33" s="713"/>
      <c r="OVQ33" s="713"/>
      <c r="OVR33" s="713"/>
      <c r="OVS33" s="713"/>
      <c r="OVT33" s="713"/>
      <c r="OVU33" s="713"/>
      <c r="OVV33" s="713"/>
      <c r="OVW33" s="713"/>
      <c r="OVX33" s="713"/>
      <c r="OVY33" s="713"/>
      <c r="OVZ33" s="713"/>
      <c r="OWA33" s="713"/>
      <c r="OWB33" s="713"/>
      <c r="OWC33" s="713"/>
      <c r="OWD33" s="713"/>
      <c r="OWE33" s="713"/>
      <c r="OWF33" s="713"/>
      <c r="OWG33" s="713"/>
      <c r="OWH33" s="713"/>
      <c r="OWI33" s="713"/>
      <c r="OWJ33" s="713"/>
      <c r="OWK33" s="713"/>
      <c r="OWL33" s="713"/>
      <c r="OWM33" s="713"/>
      <c r="OWN33" s="713"/>
      <c r="OWO33" s="713"/>
      <c r="OWP33" s="713"/>
      <c r="OWQ33" s="713"/>
      <c r="OWR33" s="713"/>
      <c r="OWS33" s="713"/>
      <c r="OWT33" s="713"/>
      <c r="OWU33" s="713"/>
      <c r="OWV33" s="713"/>
      <c r="OWW33" s="713"/>
      <c r="OWX33" s="713"/>
      <c r="OWY33" s="713"/>
      <c r="OWZ33" s="713"/>
      <c r="OXA33" s="713"/>
      <c r="OXB33" s="713"/>
      <c r="OXC33" s="713"/>
      <c r="OXD33" s="713"/>
      <c r="OXE33" s="713"/>
      <c r="OXF33" s="713"/>
      <c r="OXG33" s="713"/>
      <c r="OXH33" s="713"/>
      <c r="OXI33" s="713"/>
      <c r="OXJ33" s="713"/>
      <c r="OXK33" s="713"/>
      <c r="OXL33" s="713"/>
      <c r="OXM33" s="713"/>
      <c r="OXN33" s="713"/>
      <c r="OXO33" s="713"/>
      <c r="OXP33" s="713"/>
      <c r="OXQ33" s="713"/>
      <c r="OXR33" s="713"/>
      <c r="OXS33" s="713"/>
      <c r="OXT33" s="713"/>
      <c r="OXU33" s="713"/>
      <c r="OXV33" s="713"/>
      <c r="OXW33" s="713"/>
      <c r="OXX33" s="713"/>
      <c r="OXY33" s="713"/>
      <c r="OXZ33" s="713"/>
      <c r="OYA33" s="713"/>
      <c r="OYB33" s="713"/>
      <c r="OYC33" s="713"/>
      <c r="OYD33" s="713"/>
      <c r="OYE33" s="713"/>
      <c r="OYF33" s="713"/>
      <c r="OYG33" s="713"/>
      <c r="OYH33" s="713"/>
      <c r="OYI33" s="713"/>
      <c r="OYJ33" s="713"/>
      <c r="OYK33" s="713"/>
      <c r="OYL33" s="713"/>
      <c r="OYM33" s="713"/>
      <c r="OYN33" s="713"/>
      <c r="OYO33" s="713"/>
      <c r="OYP33" s="713"/>
      <c r="OYQ33" s="713"/>
      <c r="OYR33" s="713"/>
      <c r="OYS33" s="713"/>
      <c r="OYT33" s="713"/>
      <c r="OYU33" s="713"/>
      <c r="OYV33" s="713"/>
      <c r="OYW33" s="713"/>
      <c r="OYX33" s="713"/>
      <c r="OYY33" s="713"/>
      <c r="OYZ33" s="713"/>
      <c r="OZA33" s="713"/>
      <c r="OZB33" s="713"/>
      <c r="OZC33" s="713"/>
      <c r="OZD33" s="713"/>
      <c r="OZE33" s="713"/>
      <c r="OZF33" s="713"/>
      <c r="OZG33" s="713"/>
      <c r="OZH33" s="713"/>
      <c r="OZI33" s="713"/>
      <c r="OZJ33" s="713"/>
      <c r="OZK33" s="713"/>
      <c r="OZL33" s="713"/>
      <c r="OZM33" s="713"/>
      <c r="OZN33" s="713"/>
      <c r="OZO33" s="713"/>
      <c r="OZP33" s="713"/>
      <c r="OZQ33" s="713"/>
      <c r="OZR33" s="713"/>
      <c r="OZS33" s="713"/>
      <c r="OZT33" s="713"/>
      <c r="OZU33" s="713"/>
      <c r="OZV33" s="713"/>
      <c r="OZW33" s="713"/>
      <c r="OZX33" s="713"/>
      <c r="OZY33" s="713"/>
      <c r="OZZ33" s="713"/>
      <c r="PAA33" s="713"/>
      <c r="PAB33" s="713"/>
      <c r="PAC33" s="713"/>
      <c r="PAD33" s="713"/>
      <c r="PAE33" s="713"/>
      <c r="PAF33" s="713"/>
      <c r="PAG33" s="713"/>
      <c r="PAH33" s="713"/>
      <c r="PAI33" s="713"/>
      <c r="PAJ33" s="713"/>
      <c r="PAK33" s="713"/>
      <c r="PAL33" s="713"/>
      <c r="PAM33" s="713"/>
      <c r="PAN33" s="713"/>
      <c r="PAO33" s="713"/>
      <c r="PAP33" s="713"/>
      <c r="PAQ33" s="713"/>
      <c r="PAR33" s="713"/>
      <c r="PAS33" s="713"/>
      <c r="PAT33" s="713"/>
      <c r="PAU33" s="713"/>
      <c r="PAV33" s="713"/>
      <c r="PAW33" s="713"/>
      <c r="PAX33" s="713"/>
      <c r="PAY33" s="713"/>
      <c r="PAZ33" s="713"/>
      <c r="PBA33" s="713"/>
      <c r="PBB33" s="713"/>
      <c r="PBC33" s="713"/>
      <c r="PBD33" s="713"/>
      <c r="PBE33" s="713"/>
      <c r="PBF33" s="713"/>
      <c r="PBG33" s="713"/>
      <c r="PBH33" s="713"/>
      <c r="PBI33" s="713"/>
      <c r="PBJ33" s="713"/>
      <c r="PBK33" s="713"/>
      <c r="PBL33" s="713"/>
      <c r="PBM33" s="713"/>
      <c r="PBN33" s="713"/>
      <c r="PBO33" s="713"/>
      <c r="PBP33" s="713"/>
      <c r="PBQ33" s="713"/>
      <c r="PBR33" s="713"/>
      <c r="PBS33" s="713"/>
      <c r="PBT33" s="713"/>
      <c r="PBU33" s="713"/>
      <c r="PBV33" s="713"/>
      <c r="PBW33" s="713"/>
      <c r="PBX33" s="713"/>
      <c r="PBY33" s="713"/>
      <c r="PBZ33" s="713"/>
      <c r="PCA33" s="713"/>
      <c r="PCB33" s="713"/>
      <c r="PCC33" s="713"/>
      <c r="PCD33" s="713"/>
      <c r="PCE33" s="713"/>
      <c r="PCF33" s="713"/>
      <c r="PCG33" s="713"/>
      <c r="PCH33" s="713"/>
      <c r="PCI33" s="713"/>
      <c r="PCJ33" s="713"/>
      <c r="PCK33" s="713"/>
      <c r="PCL33" s="713"/>
      <c r="PCM33" s="713"/>
      <c r="PCN33" s="713"/>
      <c r="PCO33" s="713"/>
      <c r="PCP33" s="713"/>
      <c r="PCQ33" s="713"/>
      <c r="PCR33" s="713"/>
      <c r="PCS33" s="713"/>
      <c r="PCT33" s="713"/>
      <c r="PCU33" s="713"/>
      <c r="PCV33" s="713"/>
      <c r="PCW33" s="713"/>
      <c r="PCX33" s="713"/>
      <c r="PCY33" s="713"/>
      <c r="PCZ33" s="713"/>
      <c r="PDA33" s="713"/>
      <c r="PDB33" s="713"/>
      <c r="PDC33" s="713"/>
      <c r="PDD33" s="713"/>
      <c r="PDE33" s="713"/>
      <c r="PDF33" s="713"/>
      <c r="PDG33" s="713"/>
      <c r="PDH33" s="713"/>
      <c r="PDI33" s="713"/>
      <c r="PDJ33" s="713"/>
      <c r="PDK33" s="713"/>
      <c r="PDL33" s="713"/>
      <c r="PDM33" s="713"/>
      <c r="PDN33" s="713"/>
      <c r="PDO33" s="713"/>
      <c r="PDP33" s="713"/>
      <c r="PDQ33" s="713"/>
      <c r="PDR33" s="713"/>
      <c r="PDS33" s="713"/>
      <c r="PDT33" s="713"/>
      <c r="PDU33" s="713"/>
      <c r="PDV33" s="713"/>
      <c r="PDW33" s="713"/>
      <c r="PDX33" s="713"/>
      <c r="PDY33" s="713"/>
      <c r="PDZ33" s="713"/>
      <c r="PEA33" s="713"/>
      <c r="PEB33" s="713"/>
      <c r="PEC33" s="713"/>
      <c r="PED33" s="713"/>
      <c r="PEE33" s="713"/>
      <c r="PEF33" s="713"/>
      <c r="PEG33" s="713"/>
      <c r="PEH33" s="713"/>
      <c r="PEI33" s="713"/>
      <c r="PEJ33" s="713"/>
      <c r="PEK33" s="713"/>
      <c r="PEL33" s="713"/>
      <c r="PEM33" s="713"/>
      <c r="PEN33" s="713"/>
      <c r="PEO33" s="713"/>
      <c r="PEP33" s="713"/>
      <c r="PEQ33" s="713"/>
      <c r="PER33" s="713"/>
      <c r="PES33" s="713"/>
      <c r="PET33" s="713"/>
      <c r="PEU33" s="713"/>
      <c r="PEV33" s="713"/>
      <c r="PEW33" s="713"/>
      <c r="PEX33" s="713"/>
      <c r="PEY33" s="713"/>
      <c r="PEZ33" s="713"/>
      <c r="PFA33" s="713"/>
      <c r="PFB33" s="713"/>
      <c r="PFC33" s="713"/>
      <c r="PFD33" s="713"/>
      <c r="PFE33" s="713"/>
      <c r="PFF33" s="713"/>
      <c r="PFG33" s="713"/>
      <c r="PFH33" s="713"/>
      <c r="PFI33" s="713"/>
      <c r="PFJ33" s="713"/>
      <c r="PFK33" s="713"/>
      <c r="PFL33" s="713"/>
      <c r="PFM33" s="713"/>
      <c r="PFN33" s="713"/>
      <c r="PFO33" s="713"/>
      <c r="PFP33" s="713"/>
      <c r="PFQ33" s="713"/>
      <c r="PFR33" s="713"/>
      <c r="PFS33" s="713"/>
      <c r="PFT33" s="713"/>
      <c r="PFU33" s="713"/>
      <c r="PFV33" s="713"/>
      <c r="PFW33" s="713"/>
      <c r="PFX33" s="713"/>
      <c r="PFY33" s="713"/>
      <c r="PFZ33" s="713"/>
      <c r="PGA33" s="713"/>
      <c r="PGB33" s="713"/>
      <c r="PGC33" s="713"/>
      <c r="PGD33" s="713"/>
      <c r="PGE33" s="713"/>
      <c r="PGF33" s="713"/>
      <c r="PGG33" s="713"/>
      <c r="PGH33" s="713"/>
      <c r="PGI33" s="713"/>
      <c r="PGJ33" s="713"/>
      <c r="PGK33" s="713"/>
      <c r="PGL33" s="713"/>
      <c r="PGM33" s="713"/>
      <c r="PGN33" s="713"/>
      <c r="PGO33" s="713"/>
      <c r="PGP33" s="713"/>
      <c r="PGQ33" s="713"/>
      <c r="PGR33" s="713"/>
      <c r="PGS33" s="713"/>
      <c r="PGT33" s="713"/>
      <c r="PGU33" s="713"/>
      <c r="PGV33" s="713"/>
      <c r="PGW33" s="713"/>
      <c r="PGX33" s="713"/>
      <c r="PGY33" s="713"/>
      <c r="PGZ33" s="713"/>
      <c r="PHA33" s="713"/>
      <c r="PHB33" s="713"/>
      <c r="PHC33" s="713"/>
      <c r="PHD33" s="713"/>
      <c r="PHE33" s="713"/>
      <c r="PHF33" s="713"/>
      <c r="PHG33" s="713"/>
      <c r="PHH33" s="713"/>
      <c r="PHI33" s="713"/>
      <c r="PHJ33" s="713"/>
      <c r="PHK33" s="713"/>
      <c r="PHL33" s="713"/>
      <c r="PHM33" s="713"/>
      <c r="PHN33" s="713"/>
      <c r="PHO33" s="713"/>
      <c r="PHP33" s="713"/>
      <c r="PHQ33" s="713"/>
      <c r="PHR33" s="713"/>
      <c r="PHS33" s="713"/>
      <c r="PHT33" s="713"/>
      <c r="PHU33" s="713"/>
      <c r="PHV33" s="713"/>
      <c r="PHW33" s="713"/>
      <c r="PHX33" s="713"/>
      <c r="PHY33" s="713"/>
      <c r="PHZ33" s="713"/>
      <c r="PIA33" s="713"/>
      <c r="PIB33" s="713"/>
      <c r="PIC33" s="713"/>
      <c r="PID33" s="713"/>
      <c r="PIE33" s="713"/>
      <c r="PIF33" s="713"/>
      <c r="PIG33" s="713"/>
      <c r="PIH33" s="713"/>
      <c r="PII33" s="713"/>
      <c r="PIJ33" s="713"/>
      <c r="PIK33" s="713"/>
      <c r="PIL33" s="713"/>
      <c r="PIM33" s="713"/>
      <c r="PIN33" s="713"/>
      <c r="PIO33" s="713"/>
      <c r="PIP33" s="713"/>
      <c r="PIQ33" s="713"/>
      <c r="PIR33" s="713"/>
      <c r="PIS33" s="713"/>
      <c r="PIT33" s="713"/>
      <c r="PIU33" s="713"/>
      <c r="PIV33" s="713"/>
      <c r="PIW33" s="713"/>
      <c r="PIX33" s="713"/>
      <c r="PIY33" s="713"/>
      <c r="PIZ33" s="713"/>
      <c r="PJA33" s="713"/>
      <c r="PJB33" s="713"/>
      <c r="PJC33" s="713"/>
      <c r="PJD33" s="713"/>
      <c r="PJE33" s="713"/>
      <c r="PJF33" s="713"/>
      <c r="PJG33" s="713"/>
      <c r="PJH33" s="713"/>
      <c r="PJI33" s="713"/>
      <c r="PJJ33" s="713"/>
      <c r="PJK33" s="713"/>
      <c r="PJL33" s="713"/>
      <c r="PJM33" s="713"/>
      <c r="PJN33" s="713"/>
      <c r="PJO33" s="713"/>
      <c r="PJP33" s="713"/>
      <c r="PJQ33" s="713"/>
      <c r="PJR33" s="713"/>
      <c r="PJS33" s="713"/>
      <c r="PJT33" s="713"/>
      <c r="PJU33" s="713"/>
      <c r="PJV33" s="713"/>
      <c r="PJW33" s="713"/>
      <c r="PJX33" s="713"/>
      <c r="PJY33" s="713"/>
      <c r="PJZ33" s="713"/>
      <c r="PKA33" s="713"/>
      <c r="PKB33" s="713"/>
      <c r="PKC33" s="713"/>
      <c r="PKD33" s="713"/>
      <c r="PKE33" s="713"/>
      <c r="PKF33" s="713"/>
      <c r="PKG33" s="713"/>
      <c r="PKH33" s="713"/>
      <c r="PKI33" s="713"/>
      <c r="PKJ33" s="713"/>
      <c r="PKK33" s="713"/>
      <c r="PKL33" s="713"/>
      <c r="PKM33" s="713"/>
      <c r="PKN33" s="713"/>
      <c r="PKO33" s="713"/>
      <c r="PKP33" s="713"/>
      <c r="PKQ33" s="713"/>
      <c r="PKR33" s="713"/>
      <c r="PKS33" s="713"/>
      <c r="PKT33" s="713"/>
      <c r="PKU33" s="713"/>
      <c r="PKV33" s="713"/>
      <c r="PKW33" s="713"/>
      <c r="PKX33" s="713"/>
      <c r="PKY33" s="713"/>
      <c r="PKZ33" s="713"/>
      <c r="PLA33" s="713"/>
      <c r="PLB33" s="713"/>
      <c r="PLC33" s="713"/>
      <c r="PLD33" s="713"/>
      <c r="PLE33" s="713"/>
      <c r="PLF33" s="713"/>
      <c r="PLG33" s="713"/>
      <c r="PLH33" s="713"/>
      <c r="PLI33" s="713"/>
      <c r="PLJ33" s="713"/>
      <c r="PLK33" s="713"/>
      <c r="PLL33" s="713"/>
      <c r="PLM33" s="713"/>
      <c r="PLN33" s="713"/>
      <c r="PLO33" s="713"/>
      <c r="PLP33" s="713"/>
      <c r="PLQ33" s="713"/>
      <c r="PLR33" s="713"/>
      <c r="PLS33" s="713"/>
      <c r="PLT33" s="713"/>
      <c r="PLU33" s="713"/>
      <c r="PLV33" s="713"/>
      <c r="PLW33" s="713"/>
      <c r="PLX33" s="713"/>
      <c r="PLY33" s="713"/>
      <c r="PLZ33" s="713"/>
      <c r="PMA33" s="713"/>
      <c r="PMB33" s="713"/>
      <c r="PMC33" s="713"/>
      <c r="PMD33" s="713"/>
      <c r="PME33" s="713"/>
      <c r="PMF33" s="713"/>
      <c r="PMG33" s="713"/>
      <c r="PMH33" s="713"/>
      <c r="PMI33" s="713"/>
      <c r="PMJ33" s="713"/>
      <c r="PMK33" s="713"/>
      <c r="PML33" s="713"/>
      <c r="PMM33" s="713"/>
      <c r="PMN33" s="713"/>
      <c r="PMO33" s="713"/>
      <c r="PMP33" s="713"/>
      <c r="PMQ33" s="713"/>
      <c r="PMR33" s="713"/>
      <c r="PMS33" s="713"/>
      <c r="PMT33" s="713"/>
      <c r="PMU33" s="713"/>
      <c r="PMV33" s="713"/>
      <c r="PMW33" s="713"/>
      <c r="PMX33" s="713"/>
      <c r="PMY33" s="713"/>
      <c r="PMZ33" s="713"/>
      <c r="PNA33" s="713"/>
      <c r="PNB33" s="713"/>
      <c r="PNC33" s="713"/>
      <c r="PND33" s="713"/>
      <c r="PNE33" s="713"/>
      <c r="PNF33" s="713"/>
      <c r="PNG33" s="713"/>
      <c r="PNH33" s="713"/>
      <c r="PNI33" s="713"/>
      <c r="PNJ33" s="713"/>
      <c r="PNK33" s="713"/>
      <c r="PNL33" s="713"/>
      <c r="PNM33" s="713"/>
      <c r="PNN33" s="713"/>
      <c r="PNO33" s="713"/>
      <c r="PNP33" s="713"/>
      <c r="PNQ33" s="713"/>
      <c r="PNR33" s="713"/>
      <c r="PNS33" s="713"/>
      <c r="PNT33" s="713"/>
      <c r="PNU33" s="713"/>
      <c r="PNV33" s="713"/>
      <c r="PNW33" s="713"/>
      <c r="PNX33" s="713"/>
      <c r="PNY33" s="713"/>
      <c r="PNZ33" s="713"/>
      <c r="POA33" s="713"/>
      <c r="POB33" s="713"/>
      <c r="POC33" s="713"/>
      <c r="POD33" s="713"/>
      <c r="POE33" s="713"/>
      <c r="POF33" s="713"/>
      <c r="POG33" s="713"/>
      <c r="POH33" s="713"/>
      <c r="POI33" s="713"/>
      <c r="POJ33" s="713"/>
      <c r="POK33" s="713"/>
      <c r="POL33" s="713"/>
      <c r="POM33" s="713"/>
      <c r="PON33" s="713"/>
      <c r="POO33" s="713"/>
      <c r="POP33" s="713"/>
      <c r="POQ33" s="713"/>
      <c r="POR33" s="713"/>
      <c r="POS33" s="713"/>
      <c r="POT33" s="713"/>
      <c r="POU33" s="713"/>
      <c r="POV33" s="713"/>
      <c r="POW33" s="713"/>
      <c r="POX33" s="713"/>
      <c r="POY33" s="713"/>
      <c r="POZ33" s="713"/>
      <c r="PPA33" s="713"/>
      <c r="PPB33" s="713"/>
      <c r="PPC33" s="713"/>
      <c r="PPD33" s="713"/>
      <c r="PPE33" s="713"/>
      <c r="PPF33" s="713"/>
      <c r="PPG33" s="713"/>
      <c r="PPH33" s="713"/>
      <c r="PPI33" s="713"/>
      <c r="PPJ33" s="713"/>
      <c r="PPK33" s="713"/>
      <c r="PPL33" s="713"/>
      <c r="PPM33" s="713"/>
      <c r="PPN33" s="713"/>
      <c r="PPO33" s="713"/>
      <c r="PPP33" s="713"/>
      <c r="PPQ33" s="713"/>
      <c r="PPR33" s="713"/>
      <c r="PPS33" s="713"/>
      <c r="PPT33" s="713"/>
      <c r="PPU33" s="713"/>
      <c r="PPV33" s="713"/>
      <c r="PPW33" s="713"/>
      <c r="PPX33" s="713"/>
      <c r="PPY33" s="713"/>
      <c r="PPZ33" s="713"/>
      <c r="PQA33" s="713"/>
      <c r="PQB33" s="713"/>
      <c r="PQC33" s="713"/>
      <c r="PQD33" s="713"/>
      <c r="PQE33" s="713"/>
      <c r="PQF33" s="713"/>
      <c r="PQG33" s="713"/>
      <c r="PQH33" s="713"/>
      <c r="PQI33" s="713"/>
      <c r="PQJ33" s="713"/>
      <c r="PQK33" s="713"/>
      <c r="PQL33" s="713"/>
      <c r="PQM33" s="713"/>
      <c r="PQN33" s="713"/>
      <c r="PQO33" s="713"/>
      <c r="PQP33" s="713"/>
      <c r="PQQ33" s="713"/>
      <c r="PQR33" s="713"/>
      <c r="PQS33" s="713"/>
      <c r="PQT33" s="713"/>
      <c r="PQU33" s="713"/>
      <c r="PQV33" s="713"/>
      <c r="PQW33" s="713"/>
      <c r="PQX33" s="713"/>
      <c r="PQY33" s="713"/>
      <c r="PQZ33" s="713"/>
      <c r="PRA33" s="713"/>
      <c r="PRB33" s="713"/>
      <c r="PRC33" s="713"/>
      <c r="PRD33" s="713"/>
      <c r="PRE33" s="713"/>
      <c r="PRF33" s="713"/>
      <c r="PRG33" s="713"/>
      <c r="PRH33" s="713"/>
      <c r="PRI33" s="713"/>
      <c r="PRJ33" s="713"/>
      <c r="PRK33" s="713"/>
      <c r="PRL33" s="713"/>
      <c r="PRM33" s="713"/>
      <c r="PRN33" s="713"/>
      <c r="PRO33" s="713"/>
      <c r="PRP33" s="713"/>
      <c r="PRQ33" s="713"/>
      <c r="PRR33" s="713"/>
      <c r="PRS33" s="713"/>
      <c r="PRT33" s="713"/>
      <c r="PRU33" s="713"/>
      <c r="PRV33" s="713"/>
      <c r="PRW33" s="713"/>
      <c r="PRX33" s="713"/>
      <c r="PRY33" s="713"/>
      <c r="PRZ33" s="713"/>
      <c r="PSA33" s="713"/>
      <c r="PSB33" s="713"/>
      <c r="PSC33" s="713"/>
      <c r="PSD33" s="713"/>
      <c r="PSE33" s="713"/>
      <c r="PSF33" s="713"/>
      <c r="PSG33" s="713"/>
      <c r="PSH33" s="713"/>
      <c r="PSI33" s="713"/>
      <c r="PSJ33" s="713"/>
      <c r="PSK33" s="713"/>
      <c r="PSL33" s="713"/>
      <c r="PSM33" s="713"/>
      <c r="PSN33" s="713"/>
      <c r="PSO33" s="713"/>
      <c r="PSP33" s="713"/>
      <c r="PSQ33" s="713"/>
      <c r="PSR33" s="713"/>
      <c r="PSS33" s="713"/>
      <c r="PST33" s="713"/>
      <c r="PSU33" s="713"/>
      <c r="PSV33" s="713"/>
      <c r="PSW33" s="713"/>
      <c r="PSX33" s="713"/>
      <c r="PSY33" s="713"/>
      <c r="PSZ33" s="713"/>
      <c r="PTA33" s="713"/>
      <c r="PTB33" s="713"/>
      <c r="PTC33" s="713"/>
      <c r="PTD33" s="713"/>
      <c r="PTE33" s="713"/>
      <c r="PTF33" s="713"/>
      <c r="PTG33" s="713"/>
      <c r="PTH33" s="713"/>
      <c r="PTI33" s="713"/>
      <c r="PTJ33" s="713"/>
      <c r="PTK33" s="713"/>
      <c r="PTL33" s="713"/>
      <c r="PTM33" s="713"/>
      <c r="PTN33" s="713"/>
      <c r="PTO33" s="713"/>
      <c r="PTP33" s="713"/>
      <c r="PTQ33" s="713"/>
      <c r="PTR33" s="713"/>
      <c r="PTS33" s="713"/>
      <c r="PTT33" s="713"/>
      <c r="PTU33" s="713"/>
      <c r="PTV33" s="713"/>
      <c r="PTW33" s="713"/>
      <c r="PTX33" s="713"/>
      <c r="PTY33" s="713"/>
      <c r="PTZ33" s="713"/>
      <c r="PUA33" s="713"/>
      <c r="PUB33" s="713"/>
      <c r="PUC33" s="713"/>
      <c r="PUD33" s="713"/>
      <c r="PUE33" s="713"/>
      <c r="PUF33" s="713"/>
      <c r="PUG33" s="713"/>
      <c r="PUH33" s="713"/>
      <c r="PUI33" s="713"/>
      <c r="PUJ33" s="713"/>
      <c r="PUK33" s="713"/>
      <c r="PUL33" s="713"/>
      <c r="PUM33" s="713"/>
      <c r="PUN33" s="713"/>
      <c r="PUO33" s="713"/>
      <c r="PUP33" s="713"/>
      <c r="PUQ33" s="713"/>
      <c r="PUR33" s="713"/>
      <c r="PUS33" s="713"/>
      <c r="PUT33" s="713"/>
      <c r="PUU33" s="713"/>
      <c r="PUV33" s="713"/>
      <c r="PUW33" s="713"/>
      <c r="PUX33" s="713"/>
      <c r="PUY33" s="713"/>
      <c r="PUZ33" s="713"/>
      <c r="PVA33" s="713"/>
      <c r="PVB33" s="713"/>
      <c r="PVC33" s="713"/>
      <c r="PVD33" s="713"/>
      <c r="PVE33" s="713"/>
      <c r="PVF33" s="713"/>
      <c r="PVG33" s="713"/>
      <c r="PVH33" s="713"/>
      <c r="PVI33" s="713"/>
      <c r="PVJ33" s="713"/>
      <c r="PVK33" s="713"/>
      <c r="PVL33" s="713"/>
      <c r="PVM33" s="713"/>
      <c r="PVN33" s="713"/>
      <c r="PVO33" s="713"/>
      <c r="PVP33" s="713"/>
      <c r="PVQ33" s="713"/>
      <c r="PVR33" s="713"/>
      <c r="PVS33" s="713"/>
      <c r="PVT33" s="713"/>
      <c r="PVU33" s="713"/>
      <c r="PVV33" s="713"/>
      <c r="PVW33" s="713"/>
      <c r="PVX33" s="713"/>
      <c r="PVY33" s="713"/>
      <c r="PVZ33" s="713"/>
      <c r="PWA33" s="713"/>
      <c r="PWB33" s="713"/>
      <c r="PWC33" s="713"/>
      <c r="PWD33" s="713"/>
      <c r="PWE33" s="713"/>
      <c r="PWF33" s="713"/>
      <c r="PWG33" s="713"/>
      <c r="PWH33" s="713"/>
      <c r="PWI33" s="713"/>
      <c r="PWJ33" s="713"/>
      <c r="PWK33" s="713"/>
      <c r="PWL33" s="713"/>
      <c r="PWM33" s="713"/>
      <c r="PWN33" s="713"/>
      <c r="PWO33" s="713"/>
      <c r="PWP33" s="713"/>
      <c r="PWQ33" s="713"/>
      <c r="PWR33" s="713"/>
      <c r="PWS33" s="713"/>
      <c r="PWT33" s="713"/>
      <c r="PWU33" s="713"/>
      <c r="PWV33" s="713"/>
      <c r="PWW33" s="713"/>
      <c r="PWX33" s="713"/>
      <c r="PWY33" s="713"/>
      <c r="PWZ33" s="713"/>
      <c r="PXA33" s="713"/>
      <c r="PXB33" s="713"/>
      <c r="PXC33" s="713"/>
      <c r="PXD33" s="713"/>
      <c r="PXE33" s="713"/>
      <c r="PXF33" s="713"/>
      <c r="PXG33" s="713"/>
      <c r="PXH33" s="713"/>
      <c r="PXI33" s="713"/>
      <c r="PXJ33" s="713"/>
      <c r="PXK33" s="713"/>
      <c r="PXL33" s="713"/>
      <c r="PXM33" s="713"/>
      <c r="PXN33" s="713"/>
      <c r="PXO33" s="713"/>
      <c r="PXP33" s="713"/>
      <c r="PXQ33" s="713"/>
      <c r="PXR33" s="713"/>
      <c r="PXS33" s="713"/>
      <c r="PXT33" s="713"/>
      <c r="PXU33" s="713"/>
      <c r="PXV33" s="713"/>
      <c r="PXW33" s="713"/>
      <c r="PXX33" s="713"/>
      <c r="PXY33" s="713"/>
      <c r="PXZ33" s="713"/>
      <c r="PYA33" s="713"/>
      <c r="PYB33" s="713"/>
      <c r="PYC33" s="713"/>
      <c r="PYD33" s="713"/>
      <c r="PYE33" s="713"/>
      <c r="PYF33" s="713"/>
      <c r="PYG33" s="713"/>
      <c r="PYH33" s="713"/>
      <c r="PYI33" s="713"/>
      <c r="PYJ33" s="713"/>
      <c r="PYK33" s="713"/>
      <c r="PYL33" s="713"/>
      <c r="PYM33" s="713"/>
      <c r="PYN33" s="713"/>
      <c r="PYO33" s="713"/>
      <c r="PYP33" s="713"/>
      <c r="PYQ33" s="713"/>
      <c r="PYR33" s="713"/>
      <c r="PYS33" s="713"/>
      <c r="PYT33" s="713"/>
      <c r="PYU33" s="713"/>
      <c r="PYV33" s="713"/>
      <c r="PYW33" s="713"/>
      <c r="PYX33" s="713"/>
      <c r="PYY33" s="713"/>
      <c r="PYZ33" s="713"/>
      <c r="PZA33" s="713"/>
      <c r="PZB33" s="713"/>
      <c r="PZC33" s="713"/>
      <c r="PZD33" s="713"/>
      <c r="PZE33" s="713"/>
      <c r="PZF33" s="713"/>
      <c r="PZG33" s="713"/>
      <c r="PZH33" s="713"/>
      <c r="PZI33" s="713"/>
      <c r="PZJ33" s="713"/>
      <c r="PZK33" s="713"/>
      <c r="PZL33" s="713"/>
      <c r="PZM33" s="713"/>
      <c r="PZN33" s="713"/>
      <c r="PZO33" s="713"/>
      <c r="PZP33" s="713"/>
      <c r="PZQ33" s="713"/>
      <c r="PZR33" s="713"/>
      <c r="PZS33" s="713"/>
      <c r="PZT33" s="713"/>
      <c r="PZU33" s="713"/>
      <c r="PZV33" s="713"/>
      <c r="PZW33" s="713"/>
      <c r="PZX33" s="713"/>
      <c r="PZY33" s="713"/>
      <c r="PZZ33" s="713"/>
      <c r="QAA33" s="713"/>
      <c r="QAB33" s="713"/>
      <c r="QAC33" s="713"/>
      <c r="QAD33" s="713"/>
      <c r="QAE33" s="713"/>
      <c r="QAF33" s="713"/>
      <c r="QAG33" s="713"/>
      <c r="QAH33" s="713"/>
      <c r="QAI33" s="713"/>
      <c r="QAJ33" s="713"/>
      <c r="QAK33" s="713"/>
      <c r="QAL33" s="713"/>
      <c r="QAM33" s="713"/>
      <c r="QAN33" s="713"/>
      <c r="QAO33" s="713"/>
      <c r="QAP33" s="713"/>
      <c r="QAQ33" s="713"/>
      <c r="QAR33" s="713"/>
      <c r="QAS33" s="713"/>
      <c r="QAT33" s="713"/>
      <c r="QAU33" s="713"/>
      <c r="QAV33" s="713"/>
      <c r="QAW33" s="713"/>
      <c r="QAX33" s="713"/>
      <c r="QAY33" s="713"/>
      <c r="QAZ33" s="713"/>
      <c r="QBA33" s="713"/>
      <c r="QBB33" s="713"/>
      <c r="QBC33" s="713"/>
      <c r="QBD33" s="713"/>
      <c r="QBE33" s="713"/>
      <c r="QBF33" s="713"/>
      <c r="QBG33" s="713"/>
      <c r="QBH33" s="713"/>
      <c r="QBI33" s="713"/>
      <c r="QBJ33" s="713"/>
      <c r="QBK33" s="713"/>
      <c r="QBL33" s="713"/>
      <c r="QBM33" s="713"/>
      <c r="QBN33" s="713"/>
      <c r="QBO33" s="713"/>
      <c r="QBP33" s="713"/>
      <c r="QBQ33" s="713"/>
      <c r="QBR33" s="713"/>
      <c r="QBS33" s="713"/>
      <c r="QBT33" s="713"/>
      <c r="QBU33" s="713"/>
      <c r="QBV33" s="713"/>
      <c r="QBW33" s="713"/>
      <c r="QBX33" s="713"/>
      <c r="QBY33" s="713"/>
      <c r="QBZ33" s="713"/>
      <c r="QCA33" s="713"/>
      <c r="QCB33" s="713"/>
      <c r="QCC33" s="713"/>
      <c r="QCD33" s="713"/>
      <c r="QCE33" s="713"/>
      <c r="QCF33" s="713"/>
      <c r="QCG33" s="713"/>
      <c r="QCH33" s="713"/>
      <c r="QCI33" s="713"/>
      <c r="QCJ33" s="713"/>
      <c r="QCK33" s="713"/>
      <c r="QCL33" s="713"/>
      <c r="QCM33" s="713"/>
      <c r="QCN33" s="713"/>
      <c r="QCO33" s="713"/>
      <c r="QCP33" s="713"/>
      <c r="QCQ33" s="713"/>
      <c r="QCR33" s="713"/>
      <c r="QCS33" s="713"/>
      <c r="QCT33" s="713"/>
      <c r="QCU33" s="713"/>
      <c r="QCV33" s="713"/>
      <c r="QCW33" s="713"/>
      <c r="QCX33" s="713"/>
      <c r="QCY33" s="713"/>
      <c r="QCZ33" s="713"/>
      <c r="QDA33" s="713"/>
      <c r="QDB33" s="713"/>
      <c r="QDC33" s="713"/>
      <c r="QDD33" s="713"/>
      <c r="QDE33" s="713"/>
      <c r="QDF33" s="713"/>
      <c r="QDG33" s="713"/>
      <c r="QDH33" s="713"/>
      <c r="QDI33" s="713"/>
      <c r="QDJ33" s="713"/>
      <c r="QDK33" s="713"/>
      <c r="QDL33" s="713"/>
      <c r="QDM33" s="713"/>
      <c r="QDN33" s="713"/>
      <c r="QDO33" s="713"/>
      <c r="QDP33" s="713"/>
      <c r="QDQ33" s="713"/>
      <c r="QDR33" s="713"/>
      <c r="QDS33" s="713"/>
      <c r="QDT33" s="713"/>
      <c r="QDU33" s="713"/>
      <c r="QDV33" s="713"/>
      <c r="QDW33" s="713"/>
      <c r="QDX33" s="713"/>
      <c r="QDY33" s="713"/>
      <c r="QDZ33" s="713"/>
      <c r="QEA33" s="713"/>
      <c r="QEB33" s="713"/>
      <c r="QEC33" s="713"/>
      <c r="QED33" s="713"/>
      <c r="QEE33" s="713"/>
      <c r="QEF33" s="713"/>
      <c r="QEG33" s="713"/>
      <c r="QEH33" s="713"/>
      <c r="QEI33" s="713"/>
      <c r="QEJ33" s="713"/>
      <c r="QEK33" s="713"/>
      <c r="QEL33" s="713"/>
      <c r="QEM33" s="713"/>
      <c r="QEN33" s="713"/>
      <c r="QEO33" s="713"/>
      <c r="QEP33" s="713"/>
      <c r="QEQ33" s="713"/>
      <c r="QER33" s="713"/>
      <c r="QES33" s="713"/>
      <c r="QET33" s="713"/>
      <c r="QEU33" s="713"/>
      <c r="QEV33" s="713"/>
      <c r="QEW33" s="713"/>
      <c r="QEX33" s="713"/>
      <c r="QEY33" s="713"/>
      <c r="QEZ33" s="713"/>
      <c r="QFA33" s="713"/>
      <c r="QFB33" s="713"/>
      <c r="QFC33" s="713"/>
      <c r="QFD33" s="713"/>
      <c r="QFE33" s="713"/>
      <c r="QFF33" s="713"/>
      <c r="QFG33" s="713"/>
      <c r="QFH33" s="713"/>
      <c r="QFI33" s="713"/>
      <c r="QFJ33" s="713"/>
      <c r="QFK33" s="713"/>
      <c r="QFL33" s="713"/>
      <c r="QFM33" s="713"/>
      <c r="QFN33" s="713"/>
      <c r="QFO33" s="713"/>
      <c r="QFP33" s="713"/>
      <c r="QFQ33" s="713"/>
      <c r="QFR33" s="713"/>
      <c r="QFS33" s="713"/>
      <c r="QFT33" s="713"/>
      <c r="QFU33" s="713"/>
      <c r="QFV33" s="713"/>
      <c r="QFW33" s="713"/>
      <c r="QFX33" s="713"/>
      <c r="QFY33" s="713"/>
      <c r="QFZ33" s="713"/>
      <c r="QGA33" s="713"/>
      <c r="QGB33" s="713"/>
      <c r="QGC33" s="713"/>
      <c r="QGD33" s="713"/>
      <c r="QGE33" s="713"/>
      <c r="QGF33" s="713"/>
      <c r="QGG33" s="713"/>
      <c r="QGH33" s="713"/>
      <c r="QGI33" s="713"/>
      <c r="QGJ33" s="713"/>
      <c r="QGK33" s="713"/>
      <c r="QGL33" s="713"/>
      <c r="QGM33" s="713"/>
      <c r="QGN33" s="713"/>
      <c r="QGO33" s="713"/>
      <c r="QGP33" s="713"/>
      <c r="QGQ33" s="713"/>
      <c r="QGR33" s="713"/>
      <c r="QGS33" s="713"/>
      <c r="QGT33" s="713"/>
      <c r="QGU33" s="713"/>
      <c r="QGV33" s="713"/>
      <c r="QGW33" s="713"/>
      <c r="QGX33" s="713"/>
      <c r="QGY33" s="713"/>
      <c r="QGZ33" s="713"/>
      <c r="QHA33" s="713"/>
      <c r="QHB33" s="713"/>
      <c r="QHC33" s="713"/>
      <c r="QHD33" s="713"/>
      <c r="QHE33" s="713"/>
      <c r="QHF33" s="713"/>
      <c r="QHG33" s="713"/>
      <c r="QHH33" s="713"/>
      <c r="QHI33" s="713"/>
      <c r="QHJ33" s="713"/>
      <c r="QHK33" s="713"/>
      <c r="QHL33" s="713"/>
      <c r="QHM33" s="713"/>
      <c r="QHN33" s="713"/>
      <c r="QHO33" s="713"/>
      <c r="QHP33" s="713"/>
      <c r="QHQ33" s="713"/>
      <c r="QHR33" s="713"/>
      <c r="QHS33" s="713"/>
      <c r="QHT33" s="713"/>
      <c r="QHU33" s="713"/>
      <c r="QHV33" s="713"/>
      <c r="QHW33" s="713"/>
      <c r="QHX33" s="713"/>
      <c r="QHY33" s="713"/>
      <c r="QHZ33" s="713"/>
      <c r="QIA33" s="713"/>
      <c r="QIB33" s="713"/>
      <c r="QIC33" s="713"/>
      <c r="QID33" s="713"/>
      <c r="QIE33" s="713"/>
      <c r="QIF33" s="713"/>
      <c r="QIG33" s="713"/>
      <c r="QIH33" s="713"/>
      <c r="QII33" s="713"/>
      <c r="QIJ33" s="713"/>
      <c r="QIK33" s="713"/>
      <c r="QIL33" s="713"/>
      <c r="QIM33" s="713"/>
      <c r="QIN33" s="713"/>
      <c r="QIO33" s="713"/>
      <c r="QIP33" s="713"/>
      <c r="QIQ33" s="713"/>
      <c r="QIR33" s="713"/>
      <c r="QIS33" s="713"/>
      <c r="QIT33" s="713"/>
      <c r="QIU33" s="713"/>
      <c r="QIV33" s="713"/>
      <c r="QIW33" s="713"/>
      <c r="QIX33" s="713"/>
      <c r="QIY33" s="713"/>
      <c r="QIZ33" s="713"/>
      <c r="QJA33" s="713"/>
      <c r="QJB33" s="713"/>
      <c r="QJC33" s="713"/>
      <c r="QJD33" s="713"/>
      <c r="QJE33" s="713"/>
      <c r="QJF33" s="713"/>
      <c r="QJG33" s="713"/>
      <c r="QJH33" s="713"/>
      <c r="QJI33" s="713"/>
      <c r="QJJ33" s="713"/>
      <c r="QJK33" s="713"/>
      <c r="QJL33" s="713"/>
      <c r="QJM33" s="713"/>
      <c r="QJN33" s="713"/>
      <c r="QJO33" s="713"/>
      <c r="QJP33" s="713"/>
      <c r="QJQ33" s="713"/>
      <c r="QJR33" s="713"/>
      <c r="QJS33" s="713"/>
      <c r="QJT33" s="713"/>
      <c r="QJU33" s="713"/>
      <c r="QJV33" s="713"/>
      <c r="QJW33" s="713"/>
      <c r="QJX33" s="713"/>
      <c r="QJY33" s="713"/>
      <c r="QJZ33" s="713"/>
      <c r="QKA33" s="713"/>
      <c r="QKB33" s="713"/>
      <c r="QKC33" s="713"/>
      <c r="QKD33" s="713"/>
      <c r="QKE33" s="713"/>
      <c r="QKF33" s="713"/>
      <c r="QKG33" s="713"/>
      <c r="QKH33" s="713"/>
      <c r="QKI33" s="713"/>
      <c r="QKJ33" s="713"/>
      <c r="QKK33" s="713"/>
      <c r="QKL33" s="713"/>
      <c r="QKM33" s="713"/>
      <c r="QKN33" s="713"/>
      <c r="QKO33" s="713"/>
      <c r="QKP33" s="713"/>
      <c r="QKQ33" s="713"/>
      <c r="QKR33" s="713"/>
      <c r="QKS33" s="713"/>
      <c r="QKT33" s="713"/>
      <c r="QKU33" s="713"/>
      <c r="QKV33" s="713"/>
      <c r="QKW33" s="713"/>
      <c r="QKX33" s="713"/>
      <c r="QKY33" s="713"/>
      <c r="QKZ33" s="713"/>
      <c r="QLA33" s="713"/>
      <c r="QLB33" s="713"/>
      <c r="QLC33" s="713"/>
      <c r="QLD33" s="713"/>
      <c r="QLE33" s="713"/>
      <c r="QLF33" s="713"/>
      <c r="QLG33" s="713"/>
      <c r="QLH33" s="713"/>
      <c r="QLI33" s="713"/>
      <c r="QLJ33" s="713"/>
      <c r="QLK33" s="713"/>
      <c r="QLL33" s="713"/>
      <c r="QLM33" s="713"/>
      <c r="QLN33" s="713"/>
      <c r="QLO33" s="713"/>
      <c r="QLP33" s="713"/>
      <c r="QLQ33" s="713"/>
      <c r="QLR33" s="713"/>
      <c r="QLS33" s="713"/>
      <c r="QLT33" s="713"/>
      <c r="QLU33" s="713"/>
      <c r="QLV33" s="713"/>
      <c r="QLW33" s="713"/>
      <c r="QLX33" s="713"/>
      <c r="QLY33" s="713"/>
      <c r="QLZ33" s="713"/>
      <c r="QMA33" s="713"/>
      <c r="QMB33" s="713"/>
      <c r="QMC33" s="713"/>
      <c r="QMD33" s="713"/>
      <c r="QME33" s="713"/>
      <c r="QMF33" s="713"/>
      <c r="QMG33" s="713"/>
      <c r="QMH33" s="713"/>
      <c r="QMI33" s="713"/>
      <c r="QMJ33" s="713"/>
      <c r="QMK33" s="713"/>
      <c r="QML33" s="713"/>
      <c r="QMM33" s="713"/>
      <c r="QMN33" s="713"/>
      <c r="QMO33" s="713"/>
      <c r="QMP33" s="713"/>
      <c r="QMQ33" s="713"/>
      <c r="QMR33" s="713"/>
      <c r="QMS33" s="713"/>
      <c r="QMT33" s="713"/>
      <c r="QMU33" s="713"/>
      <c r="QMV33" s="713"/>
      <c r="QMW33" s="713"/>
      <c r="QMX33" s="713"/>
      <c r="QMY33" s="713"/>
      <c r="QMZ33" s="713"/>
      <c r="QNA33" s="713"/>
      <c r="QNB33" s="713"/>
      <c r="QNC33" s="713"/>
      <c r="QND33" s="713"/>
      <c r="QNE33" s="713"/>
      <c r="QNF33" s="713"/>
      <c r="QNG33" s="713"/>
      <c r="QNH33" s="713"/>
      <c r="QNI33" s="713"/>
      <c r="QNJ33" s="713"/>
      <c r="QNK33" s="713"/>
      <c r="QNL33" s="713"/>
      <c r="QNM33" s="713"/>
      <c r="QNN33" s="713"/>
      <c r="QNO33" s="713"/>
      <c r="QNP33" s="713"/>
      <c r="QNQ33" s="713"/>
      <c r="QNR33" s="713"/>
      <c r="QNS33" s="713"/>
      <c r="QNT33" s="713"/>
      <c r="QNU33" s="713"/>
      <c r="QNV33" s="713"/>
      <c r="QNW33" s="713"/>
      <c r="QNX33" s="713"/>
      <c r="QNY33" s="713"/>
      <c r="QNZ33" s="713"/>
      <c r="QOA33" s="713"/>
      <c r="QOB33" s="713"/>
      <c r="QOC33" s="713"/>
      <c r="QOD33" s="713"/>
      <c r="QOE33" s="713"/>
      <c r="QOF33" s="713"/>
      <c r="QOG33" s="713"/>
      <c r="QOH33" s="713"/>
      <c r="QOI33" s="713"/>
      <c r="QOJ33" s="713"/>
      <c r="QOK33" s="713"/>
      <c r="QOL33" s="713"/>
      <c r="QOM33" s="713"/>
      <c r="QON33" s="713"/>
      <c r="QOO33" s="713"/>
      <c r="QOP33" s="713"/>
      <c r="QOQ33" s="713"/>
      <c r="QOR33" s="713"/>
      <c r="QOS33" s="713"/>
      <c r="QOT33" s="713"/>
      <c r="QOU33" s="713"/>
      <c r="QOV33" s="713"/>
      <c r="QOW33" s="713"/>
      <c r="QOX33" s="713"/>
      <c r="QOY33" s="713"/>
      <c r="QOZ33" s="713"/>
      <c r="QPA33" s="713"/>
      <c r="QPB33" s="713"/>
      <c r="QPC33" s="713"/>
      <c r="QPD33" s="713"/>
      <c r="QPE33" s="713"/>
      <c r="QPF33" s="713"/>
      <c r="QPG33" s="713"/>
      <c r="QPH33" s="713"/>
      <c r="QPI33" s="713"/>
      <c r="QPJ33" s="713"/>
      <c r="QPK33" s="713"/>
      <c r="QPL33" s="713"/>
      <c r="QPM33" s="713"/>
      <c r="QPN33" s="713"/>
      <c r="QPO33" s="713"/>
      <c r="QPP33" s="713"/>
      <c r="QPQ33" s="713"/>
      <c r="QPR33" s="713"/>
      <c r="QPS33" s="713"/>
      <c r="QPT33" s="713"/>
      <c r="QPU33" s="713"/>
      <c r="QPV33" s="713"/>
      <c r="QPW33" s="713"/>
      <c r="QPX33" s="713"/>
      <c r="QPY33" s="713"/>
      <c r="QPZ33" s="713"/>
      <c r="QQA33" s="713"/>
      <c r="QQB33" s="713"/>
      <c r="QQC33" s="713"/>
      <c r="QQD33" s="713"/>
      <c r="QQE33" s="713"/>
      <c r="QQF33" s="713"/>
      <c r="QQG33" s="713"/>
      <c r="QQH33" s="713"/>
      <c r="QQI33" s="713"/>
      <c r="QQJ33" s="713"/>
      <c r="QQK33" s="713"/>
      <c r="QQL33" s="713"/>
      <c r="QQM33" s="713"/>
      <c r="QQN33" s="713"/>
      <c r="QQO33" s="713"/>
      <c r="QQP33" s="713"/>
      <c r="QQQ33" s="713"/>
      <c r="QQR33" s="713"/>
      <c r="QQS33" s="713"/>
      <c r="QQT33" s="713"/>
      <c r="QQU33" s="713"/>
      <c r="QQV33" s="713"/>
      <c r="QQW33" s="713"/>
      <c r="QQX33" s="713"/>
      <c r="QQY33" s="713"/>
      <c r="QQZ33" s="713"/>
      <c r="QRA33" s="713"/>
      <c r="QRB33" s="713"/>
      <c r="QRC33" s="713"/>
      <c r="QRD33" s="713"/>
      <c r="QRE33" s="713"/>
      <c r="QRF33" s="713"/>
      <c r="QRG33" s="713"/>
      <c r="QRH33" s="713"/>
      <c r="QRI33" s="713"/>
      <c r="QRJ33" s="713"/>
      <c r="QRK33" s="713"/>
      <c r="QRL33" s="713"/>
      <c r="QRM33" s="713"/>
      <c r="QRN33" s="713"/>
      <c r="QRO33" s="713"/>
      <c r="QRP33" s="713"/>
      <c r="QRQ33" s="713"/>
      <c r="QRR33" s="713"/>
      <c r="QRS33" s="713"/>
      <c r="QRT33" s="713"/>
      <c r="QRU33" s="713"/>
      <c r="QRV33" s="713"/>
      <c r="QRW33" s="713"/>
      <c r="QRX33" s="713"/>
      <c r="QRY33" s="713"/>
      <c r="QRZ33" s="713"/>
      <c r="QSA33" s="713"/>
      <c r="QSB33" s="713"/>
      <c r="QSC33" s="713"/>
      <c r="QSD33" s="713"/>
      <c r="QSE33" s="713"/>
      <c r="QSF33" s="713"/>
      <c r="QSG33" s="713"/>
      <c r="QSH33" s="713"/>
      <c r="QSI33" s="713"/>
      <c r="QSJ33" s="713"/>
      <c r="QSK33" s="713"/>
      <c r="QSL33" s="713"/>
      <c r="QSM33" s="713"/>
      <c r="QSN33" s="713"/>
      <c r="QSO33" s="713"/>
      <c r="QSP33" s="713"/>
      <c r="QSQ33" s="713"/>
      <c r="QSR33" s="713"/>
      <c r="QSS33" s="713"/>
      <c r="QST33" s="713"/>
      <c r="QSU33" s="713"/>
      <c r="QSV33" s="713"/>
      <c r="QSW33" s="713"/>
      <c r="QSX33" s="713"/>
      <c r="QSY33" s="713"/>
      <c r="QSZ33" s="713"/>
      <c r="QTA33" s="713"/>
      <c r="QTB33" s="713"/>
      <c r="QTC33" s="713"/>
      <c r="QTD33" s="713"/>
      <c r="QTE33" s="713"/>
      <c r="QTF33" s="713"/>
      <c r="QTG33" s="713"/>
      <c r="QTH33" s="713"/>
      <c r="QTI33" s="713"/>
      <c r="QTJ33" s="713"/>
      <c r="QTK33" s="713"/>
      <c r="QTL33" s="713"/>
      <c r="QTM33" s="713"/>
      <c r="QTN33" s="713"/>
      <c r="QTO33" s="713"/>
      <c r="QTP33" s="713"/>
      <c r="QTQ33" s="713"/>
      <c r="QTR33" s="713"/>
      <c r="QTS33" s="713"/>
      <c r="QTT33" s="713"/>
      <c r="QTU33" s="713"/>
      <c r="QTV33" s="713"/>
      <c r="QTW33" s="713"/>
      <c r="QTX33" s="713"/>
      <c r="QTY33" s="713"/>
      <c r="QTZ33" s="713"/>
      <c r="QUA33" s="713"/>
      <c r="QUB33" s="713"/>
      <c r="QUC33" s="713"/>
      <c r="QUD33" s="713"/>
      <c r="QUE33" s="713"/>
      <c r="QUF33" s="713"/>
      <c r="QUG33" s="713"/>
      <c r="QUH33" s="713"/>
      <c r="QUI33" s="713"/>
      <c r="QUJ33" s="713"/>
      <c r="QUK33" s="713"/>
      <c r="QUL33" s="713"/>
      <c r="QUM33" s="713"/>
      <c r="QUN33" s="713"/>
      <c r="QUO33" s="713"/>
      <c r="QUP33" s="713"/>
      <c r="QUQ33" s="713"/>
      <c r="QUR33" s="713"/>
      <c r="QUS33" s="713"/>
      <c r="QUT33" s="713"/>
      <c r="QUU33" s="713"/>
      <c r="QUV33" s="713"/>
      <c r="QUW33" s="713"/>
      <c r="QUX33" s="713"/>
      <c r="QUY33" s="713"/>
      <c r="QUZ33" s="713"/>
      <c r="QVA33" s="713"/>
      <c r="QVB33" s="713"/>
      <c r="QVC33" s="713"/>
      <c r="QVD33" s="713"/>
      <c r="QVE33" s="713"/>
      <c r="QVF33" s="713"/>
      <c r="QVG33" s="713"/>
      <c r="QVH33" s="713"/>
      <c r="QVI33" s="713"/>
      <c r="QVJ33" s="713"/>
      <c r="QVK33" s="713"/>
      <c r="QVL33" s="713"/>
      <c r="QVM33" s="713"/>
      <c r="QVN33" s="713"/>
      <c r="QVO33" s="713"/>
      <c r="QVP33" s="713"/>
      <c r="QVQ33" s="713"/>
      <c r="QVR33" s="713"/>
      <c r="QVS33" s="713"/>
      <c r="QVT33" s="713"/>
      <c r="QVU33" s="713"/>
      <c r="QVV33" s="713"/>
      <c r="QVW33" s="713"/>
      <c r="QVX33" s="713"/>
      <c r="QVY33" s="713"/>
      <c r="QVZ33" s="713"/>
      <c r="QWA33" s="713"/>
      <c r="QWB33" s="713"/>
      <c r="QWC33" s="713"/>
      <c r="QWD33" s="713"/>
      <c r="QWE33" s="713"/>
      <c r="QWF33" s="713"/>
      <c r="QWG33" s="713"/>
      <c r="QWH33" s="713"/>
      <c r="QWI33" s="713"/>
      <c r="QWJ33" s="713"/>
      <c r="QWK33" s="713"/>
      <c r="QWL33" s="713"/>
      <c r="QWM33" s="713"/>
      <c r="QWN33" s="713"/>
      <c r="QWO33" s="713"/>
      <c r="QWP33" s="713"/>
      <c r="QWQ33" s="713"/>
      <c r="QWR33" s="713"/>
      <c r="QWS33" s="713"/>
      <c r="QWT33" s="713"/>
      <c r="QWU33" s="713"/>
      <c r="QWV33" s="713"/>
      <c r="QWW33" s="713"/>
      <c r="QWX33" s="713"/>
      <c r="QWY33" s="713"/>
      <c r="QWZ33" s="713"/>
      <c r="QXA33" s="713"/>
      <c r="QXB33" s="713"/>
      <c r="QXC33" s="713"/>
      <c r="QXD33" s="713"/>
      <c r="QXE33" s="713"/>
      <c r="QXF33" s="713"/>
      <c r="QXG33" s="713"/>
      <c r="QXH33" s="713"/>
      <c r="QXI33" s="713"/>
      <c r="QXJ33" s="713"/>
      <c r="QXK33" s="713"/>
      <c r="QXL33" s="713"/>
      <c r="QXM33" s="713"/>
      <c r="QXN33" s="713"/>
      <c r="QXO33" s="713"/>
      <c r="QXP33" s="713"/>
      <c r="QXQ33" s="713"/>
      <c r="QXR33" s="713"/>
      <c r="QXS33" s="713"/>
      <c r="QXT33" s="713"/>
      <c r="QXU33" s="713"/>
      <c r="QXV33" s="713"/>
      <c r="QXW33" s="713"/>
      <c r="QXX33" s="713"/>
      <c r="QXY33" s="713"/>
      <c r="QXZ33" s="713"/>
      <c r="QYA33" s="713"/>
      <c r="QYB33" s="713"/>
      <c r="QYC33" s="713"/>
      <c r="QYD33" s="713"/>
      <c r="QYE33" s="713"/>
      <c r="QYF33" s="713"/>
      <c r="QYG33" s="713"/>
      <c r="QYH33" s="713"/>
      <c r="QYI33" s="713"/>
      <c r="QYJ33" s="713"/>
      <c r="QYK33" s="713"/>
      <c r="QYL33" s="713"/>
      <c r="QYM33" s="713"/>
      <c r="QYN33" s="713"/>
      <c r="QYO33" s="713"/>
      <c r="QYP33" s="713"/>
      <c r="QYQ33" s="713"/>
      <c r="QYR33" s="713"/>
      <c r="QYS33" s="713"/>
      <c r="QYT33" s="713"/>
      <c r="QYU33" s="713"/>
      <c r="QYV33" s="713"/>
      <c r="QYW33" s="713"/>
      <c r="QYX33" s="713"/>
      <c r="QYY33" s="713"/>
      <c r="QYZ33" s="713"/>
      <c r="QZA33" s="713"/>
      <c r="QZB33" s="713"/>
      <c r="QZC33" s="713"/>
      <c r="QZD33" s="713"/>
      <c r="QZE33" s="713"/>
      <c r="QZF33" s="713"/>
      <c r="QZG33" s="713"/>
      <c r="QZH33" s="713"/>
      <c r="QZI33" s="713"/>
      <c r="QZJ33" s="713"/>
      <c r="QZK33" s="713"/>
      <c r="QZL33" s="713"/>
      <c r="QZM33" s="713"/>
      <c r="QZN33" s="713"/>
      <c r="QZO33" s="713"/>
      <c r="QZP33" s="713"/>
      <c r="QZQ33" s="713"/>
      <c r="QZR33" s="713"/>
      <c r="QZS33" s="713"/>
      <c r="QZT33" s="713"/>
      <c r="QZU33" s="713"/>
      <c r="QZV33" s="713"/>
      <c r="QZW33" s="713"/>
      <c r="QZX33" s="713"/>
      <c r="QZY33" s="713"/>
      <c r="QZZ33" s="713"/>
      <c r="RAA33" s="713"/>
      <c r="RAB33" s="713"/>
      <c r="RAC33" s="713"/>
      <c r="RAD33" s="713"/>
      <c r="RAE33" s="713"/>
      <c r="RAF33" s="713"/>
      <c r="RAG33" s="713"/>
      <c r="RAH33" s="713"/>
      <c r="RAI33" s="713"/>
      <c r="RAJ33" s="713"/>
      <c r="RAK33" s="713"/>
      <c r="RAL33" s="713"/>
      <c r="RAM33" s="713"/>
      <c r="RAN33" s="713"/>
      <c r="RAO33" s="713"/>
      <c r="RAP33" s="713"/>
      <c r="RAQ33" s="713"/>
      <c r="RAR33" s="713"/>
      <c r="RAS33" s="713"/>
      <c r="RAT33" s="713"/>
      <c r="RAU33" s="713"/>
      <c r="RAV33" s="713"/>
      <c r="RAW33" s="713"/>
      <c r="RAX33" s="713"/>
      <c r="RAY33" s="713"/>
      <c r="RAZ33" s="713"/>
      <c r="RBA33" s="713"/>
      <c r="RBB33" s="713"/>
      <c r="RBC33" s="713"/>
      <c r="RBD33" s="713"/>
      <c r="RBE33" s="713"/>
      <c r="RBF33" s="713"/>
      <c r="RBG33" s="713"/>
      <c r="RBH33" s="713"/>
      <c r="RBI33" s="713"/>
      <c r="RBJ33" s="713"/>
      <c r="RBK33" s="713"/>
      <c r="RBL33" s="713"/>
      <c r="RBM33" s="713"/>
      <c r="RBN33" s="713"/>
      <c r="RBO33" s="713"/>
      <c r="RBP33" s="713"/>
      <c r="RBQ33" s="713"/>
      <c r="RBR33" s="713"/>
      <c r="RBS33" s="713"/>
      <c r="RBT33" s="713"/>
      <c r="RBU33" s="713"/>
      <c r="RBV33" s="713"/>
      <c r="RBW33" s="713"/>
      <c r="RBX33" s="713"/>
      <c r="RBY33" s="713"/>
      <c r="RBZ33" s="713"/>
      <c r="RCA33" s="713"/>
      <c r="RCB33" s="713"/>
      <c r="RCC33" s="713"/>
      <c r="RCD33" s="713"/>
      <c r="RCE33" s="713"/>
      <c r="RCF33" s="713"/>
      <c r="RCG33" s="713"/>
      <c r="RCH33" s="713"/>
      <c r="RCI33" s="713"/>
      <c r="RCJ33" s="713"/>
      <c r="RCK33" s="713"/>
      <c r="RCL33" s="713"/>
      <c r="RCM33" s="713"/>
      <c r="RCN33" s="713"/>
      <c r="RCO33" s="713"/>
      <c r="RCP33" s="713"/>
      <c r="RCQ33" s="713"/>
      <c r="RCR33" s="713"/>
      <c r="RCS33" s="713"/>
      <c r="RCT33" s="713"/>
      <c r="RCU33" s="713"/>
      <c r="RCV33" s="713"/>
      <c r="RCW33" s="713"/>
      <c r="RCX33" s="713"/>
      <c r="RCY33" s="713"/>
      <c r="RCZ33" s="713"/>
      <c r="RDA33" s="713"/>
      <c r="RDB33" s="713"/>
      <c r="RDC33" s="713"/>
      <c r="RDD33" s="713"/>
      <c r="RDE33" s="713"/>
      <c r="RDF33" s="713"/>
      <c r="RDG33" s="713"/>
      <c r="RDH33" s="713"/>
      <c r="RDI33" s="713"/>
      <c r="RDJ33" s="713"/>
      <c r="RDK33" s="713"/>
      <c r="RDL33" s="713"/>
      <c r="RDM33" s="713"/>
      <c r="RDN33" s="713"/>
      <c r="RDO33" s="713"/>
      <c r="RDP33" s="713"/>
      <c r="RDQ33" s="713"/>
      <c r="RDR33" s="713"/>
      <c r="RDS33" s="713"/>
      <c r="RDT33" s="713"/>
      <c r="RDU33" s="713"/>
      <c r="RDV33" s="713"/>
      <c r="RDW33" s="713"/>
      <c r="RDX33" s="713"/>
      <c r="RDY33" s="713"/>
      <c r="RDZ33" s="713"/>
      <c r="REA33" s="713"/>
      <c r="REB33" s="713"/>
      <c r="REC33" s="713"/>
      <c r="RED33" s="713"/>
      <c r="REE33" s="713"/>
      <c r="REF33" s="713"/>
      <c r="REG33" s="713"/>
      <c r="REH33" s="713"/>
      <c r="REI33" s="713"/>
      <c r="REJ33" s="713"/>
      <c r="REK33" s="713"/>
      <c r="REL33" s="713"/>
      <c r="REM33" s="713"/>
      <c r="REN33" s="713"/>
      <c r="REO33" s="713"/>
      <c r="REP33" s="713"/>
      <c r="REQ33" s="713"/>
      <c r="RER33" s="713"/>
      <c r="RES33" s="713"/>
      <c r="RET33" s="713"/>
      <c r="REU33" s="713"/>
      <c r="REV33" s="713"/>
      <c r="REW33" s="713"/>
      <c r="REX33" s="713"/>
      <c r="REY33" s="713"/>
      <c r="REZ33" s="713"/>
      <c r="RFA33" s="713"/>
      <c r="RFB33" s="713"/>
      <c r="RFC33" s="713"/>
      <c r="RFD33" s="713"/>
      <c r="RFE33" s="713"/>
      <c r="RFF33" s="713"/>
      <c r="RFG33" s="713"/>
      <c r="RFH33" s="713"/>
      <c r="RFI33" s="713"/>
      <c r="RFJ33" s="713"/>
      <c r="RFK33" s="713"/>
      <c r="RFL33" s="713"/>
      <c r="RFM33" s="713"/>
      <c r="RFN33" s="713"/>
      <c r="RFO33" s="713"/>
      <c r="RFP33" s="713"/>
      <c r="RFQ33" s="713"/>
      <c r="RFR33" s="713"/>
      <c r="RFS33" s="713"/>
      <c r="RFT33" s="713"/>
      <c r="RFU33" s="713"/>
      <c r="RFV33" s="713"/>
      <c r="RFW33" s="713"/>
      <c r="RFX33" s="713"/>
      <c r="RFY33" s="713"/>
      <c r="RFZ33" s="713"/>
      <c r="RGA33" s="713"/>
      <c r="RGB33" s="713"/>
      <c r="RGC33" s="713"/>
      <c r="RGD33" s="713"/>
      <c r="RGE33" s="713"/>
      <c r="RGF33" s="713"/>
      <c r="RGG33" s="713"/>
      <c r="RGH33" s="713"/>
      <c r="RGI33" s="713"/>
      <c r="RGJ33" s="713"/>
      <c r="RGK33" s="713"/>
      <c r="RGL33" s="713"/>
      <c r="RGM33" s="713"/>
      <c r="RGN33" s="713"/>
      <c r="RGO33" s="713"/>
      <c r="RGP33" s="713"/>
      <c r="RGQ33" s="713"/>
      <c r="RGR33" s="713"/>
      <c r="RGS33" s="713"/>
      <c r="RGT33" s="713"/>
      <c r="RGU33" s="713"/>
      <c r="RGV33" s="713"/>
      <c r="RGW33" s="713"/>
      <c r="RGX33" s="713"/>
      <c r="RGY33" s="713"/>
      <c r="RGZ33" s="713"/>
      <c r="RHA33" s="713"/>
      <c r="RHB33" s="713"/>
      <c r="RHC33" s="713"/>
      <c r="RHD33" s="713"/>
      <c r="RHE33" s="713"/>
      <c r="RHF33" s="713"/>
      <c r="RHG33" s="713"/>
      <c r="RHH33" s="713"/>
      <c r="RHI33" s="713"/>
      <c r="RHJ33" s="713"/>
      <c r="RHK33" s="713"/>
      <c r="RHL33" s="713"/>
      <c r="RHM33" s="713"/>
      <c r="RHN33" s="713"/>
      <c r="RHO33" s="713"/>
      <c r="RHP33" s="713"/>
      <c r="RHQ33" s="713"/>
      <c r="RHR33" s="713"/>
      <c r="RHS33" s="713"/>
      <c r="RHT33" s="713"/>
      <c r="RHU33" s="713"/>
      <c r="RHV33" s="713"/>
      <c r="RHW33" s="713"/>
      <c r="RHX33" s="713"/>
      <c r="RHY33" s="713"/>
      <c r="RHZ33" s="713"/>
      <c r="RIA33" s="713"/>
      <c r="RIB33" s="713"/>
      <c r="RIC33" s="713"/>
      <c r="RID33" s="713"/>
      <c r="RIE33" s="713"/>
      <c r="RIF33" s="713"/>
      <c r="RIG33" s="713"/>
      <c r="RIH33" s="713"/>
      <c r="RII33" s="713"/>
      <c r="RIJ33" s="713"/>
      <c r="RIK33" s="713"/>
      <c r="RIL33" s="713"/>
      <c r="RIM33" s="713"/>
      <c r="RIN33" s="713"/>
      <c r="RIO33" s="713"/>
      <c r="RIP33" s="713"/>
      <c r="RIQ33" s="713"/>
      <c r="RIR33" s="713"/>
      <c r="RIS33" s="713"/>
      <c r="RIT33" s="713"/>
      <c r="RIU33" s="713"/>
      <c r="RIV33" s="713"/>
      <c r="RIW33" s="713"/>
      <c r="RIX33" s="713"/>
      <c r="RIY33" s="713"/>
      <c r="RIZ33" s="713"/>
      <c r="RJA33" s="713"/>
      <c r="RJB33" s="713"/>
      <c r="RJC33" s="713"/>
      <c r="RJD33" s="713"/>
      <c r="RJE33" s="713"/>
      <c r="RJF33" s="713"/>
      <c r="RJG33" s="713"/>
      <c r="RJH33" s="713"/>
      <c r="RJI33" s="713"/>
      <c r="RJJ33" s="713"/>
      <c r="RJK33" s="713"/>
      <c r="RJL33" s="713"/>
      <c r="RJM33" s="713"/>
      <c r="RJN33" s="713"/>
      <c r="RJO33" s="713"/>
      <c r="RJP33" s="713"/>
      <c r="RJQ33" s="713"/>
      <c r="RJR33" s="713"/>
      <c r="RJS33" s="713"/>
      <c r="RJT33" s="713"/>
      <c r="RJU33" s="713"/>
      <c r="RJV33" s="713"/>
      <c r="RJW33" s="713"/>
      <c r="RJX33" s="713"/>
      <c r="RJY33" s="713"/>
      <c r="RJZ33" s="713"/>
      <c r="RKA33" s="713"/>
      <c r="RKB33" s="713"/>
      <c r="RKC33" s="713"/>
      <c r="RKD33" s="713"/>
      <c r="RKE33" s="713"/>
      <c r="RKF33" s="713"/>
      <c r="RKG33" s="713"/>
      <c r="RKH33" s="713"/>
      <c r="RKI33" s="713"/>
      <c r="RKJ33" s="713"/>
      <c r="RKK33" s="713"/>
      <c r="RKL33" s="713"/>
      <c r="RKM33" s="713"/>
      <c r="RKN33" s="713"/>
      <c r="RKO33" s="713"/>
      <c r="RKP33" s="713"/>
      <c r="RKQ33" s="713"/>
      <c r="RKR33" s="713"/>
      <c r="RKS33" s="713"/>
      <c r="RKT33" s="713"/>
      <c r="RKU33" s="713"/>
      <c r="RKV33" s="713"/>
      <c r="RKW33" s="713"/>
      <c r="RKX33" s="713"/>
      <c r="RKY33" s="713"/>
      <c r="RKZ33" s="713"/>
      <c r="RLA33" s="713"/>
      <c r="RLB33" s="713"/>
      <c r="RLC33" s="713"/>
      <c r="RLD33" s="713"/>
      <c r="RLE33" s="713"/>
      <c r="RLF33" s="713"/>
      <c r="RLG33" s="713"/>
      <c r="RLH33" s="713"/>
      <c r="RLI33" s="713"/>
      <c r="RLJ33" s="713"/>
      <c r="RLK33" s="713"/>
      <c r="RLL33" s="713"/>
      <c r="RLM33" s="713"/>
      <c r="RLN33" s="713"/>
      <c r="RLO33" s="713"/>
      <c r="RLP33" s="713"/>
      <c r="RLQ33" s="713"/>
      <c r="RLR33" s="713"/>
      <c r="RLS33" s="713"/>
      <c r="RLT33" s="713"/>
      <c r="RLU33" s="713"/>
      <c r="RLV33" s="713"/>
      <c r="RLW33" s="713"/>
      <c r="RLX33" s="713"/>
      <c r="RLY33" s="713"/>
      <c r="RLZ33" s="713"/>
      <c r="RMA33" s="713"/>
      <c r="RMB33" s="713"/>
      <c r="RMC33" s="713"/>
      <c r="RMD33" s="713"/>
      <c r="RME33" s="713"/>
      <c r="RMF33" s="713"/>
      <c r="RMG33" s="713"/>
      <c r="RMH33" s="713"/>
      <c r="RMI33" s="713"/>
      <c r="RMJ33" s="713"/>
      <c r="RMK33" s="713"/>
      <c r="RML33" s="713"/>
      <c r="RMM33" s="713"/>
      <c r="RMN33" s="713"/>
      <c r="RMO33" s="713"/>
      <c r="RMP33" s="713"/>
      <c r="RMQ33" s="713"/>
      <c r="RMR33" s="713"/>
      <c r="RMS33" s="713"/>
      <c r="RMT33" s="713"/>
      <c r="RMU33" s="713"/>
      <c r="RMV33" s="713"/>
      <c r="RMW33" s="713"/>
      <c r="RMX33" s="713"/>
      <c r="RMY33" s="713"/>
      <c r="RMZ33" s="713"/>
      <c r="RNA33" s="713"/>
      <c r="RNB33" s="713"/>
      <c r="RNC33" s="713"/>
      <c r="RND33" s="713"/>
      <c r="RNE33" s="713"/>
      <c r="RNF33" s="713"/>
      <c r="RNG33" s="713"/>
      <c r="RNH33" s="713"/>
      <c r="RNI33" s="713"/>
      <c r="RNJ33" s="713"/>
      <c r="RNK33" s="713"/>
      <c r="RNL33" s="713"/>
      <c r="RNM33" s="713"/>
      <c r="RNN33" s="713"/>
      <c r="RNO33" s="713"/>
      <c r="RNP33" s="713"/>
      <c r="RNQ33" s="713"/>
      <c r="RNR33" s="713"/>
      <c r="RNS33" s="713"/>
      <c r="RNT33" s="713"/>
      <c r="RNU33" s="713"/>
      <c r="RNV33" s="713"/>
      <c r="RNW33" s="713"/>
      <c r="RNX33" s="713"/>
      <c r="RNY33" s="713"/>
      <c r="RNZ33" s="713"/>
      <c r="ROA33" s="713"/>
      <c r="ROB33" s="713"/>
      <c r="ROC33" s="713"/>
      <c r="ROD33" s="713"/>
      <c r="ROE33" s="713"/>
      <c r="ROF33" s="713"/>
      <c r="ROG33" s="713"/>
      <c r="ROH33" s="713"/>
      <c r="ROI33" s="713"/>
      <c r="ROJ33" s="713"/>
      <c r="ROK33" s="713"/>
      <c r="ROL33" s="713"/>
      <c r="ROM33" s="713"/>
      <c r="RON33" s="713"/>
      <c r="ROO33" s="713"/>
      <c r="ROP33" s="713"/>
      <c r="ROQ33" s="713"/>
      <c r="ROR33" s="713"/>
      <c r="ROS33" s="713"/>
      <c r="ROT33" s="713"/>
      <c r="ROU33" s="713"/>
      <c r="ROV33" s="713"/>
      <c r="ROW33" s="713"/>
      <c r="ROX33" s="713"/>
      <c r="ROY33" s="713"/>
      <c r="ROZ33" s="713"/>
      <c r="RPA33" s="713"/>
      <c r="RPB33" s="713"/>
      <c r="RPC33" s="713"/>
      <c r="RPD33" s="713"/>
      <c r="RPE33" s="713"/>
      <c r="RPF33" s="713"/>
      <c r="RPG33" s="713"/>
      <c r="RPH33" s="713"/>
      <c r="RPI33" s="713"/>
      <c r="RPJ33" s="713"/>
      <c r="RPK33" s="713"/>
      <c r="RPL33" s="713"/>
      <c r="RPM33" s="713"/>
      <c r="RPN33" s="713"/>
      <c r="RPO33" s="713"/>
      <c r="RPP33" s="713"/>
      <c r="RPQ33" s="713"/>
      <c r="RPR33" s="713"/>
      <c r="RPS33" s="713"/>
      <c r="RPT33" s="713"/>
      <c r="RPU33" s="713"/>
      <c r="RPV33" s="713"/>
      <c r="RPW33" s="713"/>
      <c r="RPX33" s="713"/>
      <c r="RPY33" s="713"/>
      <c r="RPZ33" s="713"/>
      <c r="RQA33" s="713"/>
      <c r="RQB33" s="713"/>
      <c r="RQC33" s="713"/>
      <c r="RQD33" s="713"/>
      <c r="RQE33" s="713"/>
      <c r="RQF33" s="713"/>
      <c r="RQG33" s="713"/>
      <c r="RQH33" s="713"/>
      <c r="RQI33" s="713"/>
      <c r="RQJ33" s="713"/>
      <c r="RQK33" s="713"/>
      <c r="RQL33" s="713"/>
      <c r="RQM33" s="713"/>
      <c r="RQN33" s="713"/>
      <c r="RQO33" s="713"/>
      <c r="RQP33" s="713"/>
      <c r="RQQ33" s="713"/>
      <c r="RQR33" s="713"/>
      <c r="RQS33" s="713"/>
      <c r="RQT33" s="713"/>
      <c r="RQU33" s="713"/>
      <c r="RQV33" s="713"/>
      <c r="RQW33" s="713"/>
      <c r="RQX33" s="713"/>
      <c r="RQY33" s="713"/>
      <c r="RQZ33" s="713"/>
      <c r="RRA33" s="713"/>
      <c r="RRB33" s="713"/>
      <c r="RRC33" s="713"/>
      <c r="RRD33" s="713"/>
      <c r="RRE33" s="713"/>
      <c r="RRF33" s="713"/>
      <c r="RRG33" s="713"/>
      <c r="RRH33" s="713"/>
      <c r="RRI33" s="713"/>
      <c r="RRJ33" s="713"/>
      <c r="RRK33" s="713"/>
      <c r="RRL33" s="713"/>
      <c r="RRM33" s="713"/>
      <c r="RRN33" s="713"/>
      <c r="RRO33" s="713"/>
      <c r="RRP33" s="713"/>
      <c r="RRQ33" s="713"/>
      <c r="RRR33" s="713"/>
      <c r="RRS33" s="713"/>
      <c r="RRT33" s="713"/>
      <c r="RRU33" s="713"/>
      <c r="RRV33" s="713"/>
      <c r="RRW33" s="713"/>
      <c r="RRX33" s="713"/>
      <c r="RRY33" s="713"/>
      <c r="RRZ33" s="713"/>
      <c r="RSA33" s="713"/>
      <c r="RSB33" s="713"/>
      <c r="RSC33" s="713"/>
      <c r="RSD33" s="713"/>
      <c r="RSE33" s="713"/>
      <c r="RSF33" s="713"/>
      <c r="RSG33" s="713"/>
      <c r="RSH33" s="713"/>
      <c r="RSI33" s="713"/>
      <c r="RSJ33" s="713"/>
      <c r="RSK33" s="713"/>
      <c r="RSL33" s="713"/>
      <c r="RSM33" s="713"/>
      <c r="RSN33" s="713"/>
      <c r="RSO33" s="713"/>
      <c r="RSP33" s="713"/>
      <c r="RSQ33" s="713"/>
      <c r="RSR33" s="713"/>
      <c r="RSS33" s="713"/>
      <c r="RST33" s="713"/>
      <c r="RSU33" s="713"/>
      <c r="RSV33" s="713"/>
      <c r="RSW33" s="713"/>
      <c r="RSX33" s="713"/>
      <c r="RSY33" s="713"/>
      <c r="RSZ33" s="713"/>
      <c r="RTA33" s="713"/>
      <c r="RTB33" s="713"/>
      <c r="RTC33" s="713"/>
      <c r="RTD33" s="713"/>
      <c r="RTE33" s="713"/>
      <c r="RTF33" s="713"/>
      <c r="RTG33" s="713"/>
      <c r="RTH33" s="713"/>
      <c r="RTI33" s="713"/>
      <c r="RTJ33" s="713"/>
      <c r="RTK33" s="713"/>
      <c r="RTL33" s="713"/>
      <c r="RTM33" s="713"/>
      <c r="RTN33" s="713"/>
      <c r="RTO33" s="713"/>
      <c r="RTP33" s="713"/>
      <c r="RTQ33" s="713"/>
      <c r="RTR33" s="713"/>
      <c r="RTS33" s="713"/>
      <c r="RTT33" s="713"/>
      <c r="RTU33" s="713"/>
      <c r="RTV33" s="713"/>
      <c r="RTW33" s="713"/>
      <c r="RTX33" s="713"/>
      <c r="RTY33" s="713"/>
      <c r="RTZ33" s="713"/>
      <c r="RUA33" s="713"/>
      <c r="RUB33" s="713"/>
      <c r="RUC33" s="713"/>
      <c r="RUD33" s="713"/>
      <c r="RUE33" s="713"/>
      <c r="RUF33" s="713"/>
      <c r="RUG33" s="713"/>
      <c r="RUH33" s="713"/>
      <c r="RUI33" s="713"/>
      <c r="RUJ33" s="713"/>
      <c r="RUK33" s="713"/>
      <c r="RUL33" s="713"/>
      <c r="RUM33" s="713"/>
      <c r="RUN33" s="713"/>
      <c r="RUO33" s="713"/>
      <c r="RUP33" s="713"/>
      <c r="RUQ33" s="713"/>
      <c r="RUR33" s="713"/>
      <c r="RUS33" s="713"/>
      <c r="RUT33" s="713"/>
      <c r="RUU33" s="713"/>
      <c r="RUV33" s="713"/>
      <c r="RUW33" s="713"/>
      <c r="RUX33" s="713"/>
      <c r="RUY33" s="713"/>
      <c r="RUZ33" s="713"/>
      <c r="RVA33" s="713"/>
      <c r="RVB33" s="713"/>
      <c r="RVC33" s="713"/>
      <c r="RVD33" s="713"/>
      <c r="RVE33" s="713"/>
      <c r="RVF33" s="713"/>
      <c r="RVG33" s="713"/>
      <c r="RVH33" s="713"/>
      <c r="RVI33" s="713"/>
      <c r="RVJ33" s="713"/>
      <c r="RVK33" s="713"/>
      <c r="RVL33" s="713"/>
      <c r="RVM33" s="713"/>
      <c r="RVN33" s="713"/>
      <c r="RVO33" s="713"/>
      <c r="RVP33" s="713"/>
      <c r="RVQ33" s="713"/>
      <c r="RVR33" s="713"/>
      <c r="RVS33" s="713"/>
      <c r="RVT33" s="713"/>
      <c r="RVU33" s="713"/>
      <c r="RVV33" s="713"/>
      <c r="RVW33" s="713"/>
      <c r="RVX33" s="713"/>
      <c r="RVY33" s="713"/>
      <c r="RVZ33" s="713"/>
      <c r="RWA33" s="713"/>
      <c r="RWB33" s="713"/>
      <c r="RWC33" s="713"/>
      <c r="RWD33" s="713"/>
      <c r="RWE33" s="713"/>
      <c r="RWF33" s="713"/>
      <c r="RWG33" s="713"/>
      <c r="RWH33" s="713"/>
      <c r="RWI33" s="713"/>
      <c r="RWJ33" s="713"/>
      <c r="RWK33" s="713"/>
      <c r="RWL33" s="713"/>
      <c r="RWM33" s="713"/>
      <c r="RWN33" s="713"/>
      <c r="RWO33" s="713"/>
      <c r="RWP33" s="713"/>
      <c r="RWQ33" s="713"/>
      <c r="RWR33" s="713"/>
      <c r="RWS33" s="713"/>
      <c r="RWT33" s="713"/>
      <c r="RWU33" s="713"/>
      <c r="RWV33" s="713"/>
      <c r="RWW33" s="713"/>
      <c r="RWX33" s="713"/>
      <c r="RWY33" s="713"/>
      <c r="RWZ33" s="713"/>
      <c r="RXA33" s="713"/>
      <c r="RXB33" s="713"/>
      <c r="RXC33" s="713"/>
      <c r="RXD33" s="713"/>
      <c r="RXE33" s="713"/>
      <c r="RXF33" s="713"/>
      <c r="RXG33" s="713"/>
      <c r="RXH33" s="713"/>
      <c r="RXI33" s="713"/>
      <c r="RXJ33" s="713"/>
      <c r="RXK33" s="713"/>
      <c r="RXL33" s="713"/>
      <c r="RXM33" s="713"/>
      <c r="RXN33" s="713"/>
      <c r="RXO33" s="713"/>
      <c r="RXP33" s="713"/>
      <c r="RXQ33" s="713"/>
      <c r="RXR33" s="713"/>
      <c r="RXS33" s="713"/>
      <c r="RXT33" s="713"/>
      <c r="RXU33" s="713"/>
      <c r="RXV33" s="713"/>
      <c r="RXW33" s="713"/>
      <c r="RXX33" s="713"/>
      <c r="RXY33" s="713"/>
      <c r="RXZ33" s="713"/>
      <c r="RYA33" s="713"/>
      <c r="RYB33" s="713"/>
      <c r="RYC33" s="713"/>
      <c r="RYD33" s="713"/>
      <c r="RYE33" s="713"/>
      <c r="RYF33" s="713"/>
      <c r="RYG33" s="713"/>
      <c r="RYH33" s="713"/>
      <c r="RYI33" s="713"/>
      <c r="RYJ33" s="713"/>
      <c r="RYK33" s="713"/>
      <c r="RYL33" s="713"/>
      <c r="RYM33" s="713"/>
      <c r="RYN33" s="713"/>
      <c r="RYO33" s="713"/>
      <c r="RYP33" s="713"/>
      <c r="RYQ33" s="713"/>
      <c r="RYR33" s="713"/>
      <c r="RYS33" s="713"/>
      <c r="RYT33" s="713"/>
      <c r="RYU33" s="713"/>
      <c r="RYV33" s="713"/>
      <c r="RYW33" s="713"/>
      <c r="RYX33" s="713"/>
      <c r="RYY33" s="713"/>
      <c r="RYZ33" s="713"/>
      <c r="RZA33" s="713"/>
      <c r="RZB33" s="713"/>
      <c r="RZC33" s="713"/>
      <c r="RZD33" s="713"/>
      <c r="RZE33" s="713"/>
      <c r="RZF33" s="713"/>
      <c r="RZG33" s="713"/>
      <c r="RZH33" s="713"/>
      <c r="RZI33" s="713"/>
      <c r="RZJ33" s="713"/>
      <c r="RZK33" s="713"/>
      <c r="RZL33" s="713"/>
      <c r="RZM33" s="713"/>
      <c r="RZN33" s="713"/>
      <c r="RZO33" s="713"/>
      <c r="RZP33" s="713"/>
      <c r="RZQ33" s="713"/>
      <c r="RZR33" s="713"/>
      <c r="RZS33" s="713"/>
      <c r="RZT33" s="713"/>
      <c r="RZU33" s="713"/>
      <c r="RZV33" s="713"/>
      <c r="RZW33" s="713"/>
      <c r="RZX33" s="713"/>
      <c r="RZY33" s="713"/>
      <c r="RZZ33" s="713"/>
      <c r="SAA33" s="713"/>
      <c r="SAB33" s="713"/>
      <c r="SAC33" s="713"/>
      <c r="SAD33" s="713"/>
      <c r="SAE33" s="713"/>
      <c r="SAF33" s="713"/>
      <c r="SAG33" s="713"/>
      <c r="SAH33" s="713"/>
      <c r="SAI33" s="713"/>
      <c r="SAJ33" s="713"/>
      <c r="SAK33" s="713"/>
      <c r="SAL33" s="713"/>
      <c r="SAM33" s="713"/>
      <c r="SAN33" s="713"/>
      <c r="SAO33" s="713"/>
      <c r="SAP33" s="713"/>
      <c r="SAQ33" s="713"/>
      <c r="SAR33" s="713"/>
      <c r="SAS33" s="713"/>
      <c r="SAT33" s="713"/>
      <c r="SAU33" s="713"/>
      <c r="SAV33" s="713"/>
      <c r="SAW33" s="713"/>
      <c r="SAX33" s="713"/>
      <c r="SAY33" s="713"/>
      <c r="SAZ33" s="713"/>
      <c r="SBA33" s="713"/>
      <c r="SBB33" s="713"/>
      <c r="SBC33" s="713"/>
      <c r="SBD33" s="713"/>
      <c r="SBE33" s="713"/>
      <c r="SBF33" s="713"/>
      <c r="SBG33" s="713"/>
      <c r="SBH33" s="713"/>
      <c r="SBI33" s="713"/>
      <c r="SBJ33" s="713"/>
      <c r="SBK33" s="713"/>
      <c r="SBL33" s="713"/>
      <c r="SBM33" s="713"/>
      <c r="SBN33" s="713"/>
      <c r="SBO33" s="713"/>
      <c r="SBP33" s="713"/>
      <c r="SBQ33" s="713"/>
      <c r="SBR33" s="713"/>
      <c r="SBS33" s="713"/>
      <c r="SBT33" s="713"/>
      <c r="SBU33" s="713"/>
      <c r="SBV33" s="713"/>
      <c r="SBW33" s="713"/>
      <c r="SBX33" s="713"/>
      <c r="SBY33" s="713"/>
      <c r="SBZ33" s="713"/>
      <c r="SCA33" s="713"/>
      <c r="SCB33" s="713"/>
      <c r="SCC33" s="713"/>
      <c r="SCD33" s="713"/>
      <c r="SCE33" s="713"/>
      <c r="SCF33" s="713"/>
      <c r="SCG33" s="713"/>
      <c r="SCH33" s="713"/>
      <c r="SCI33" s="713"/>
      <c r="SCJ33" s="713"/>
      <c r="SCK33" s="713"/>
      <c r="SCL33" s="713"/>
      <c r="SCM33" s="713"/>
      <c r="SCN33" s="713"/>
      <c r="SCO33" s="713"/>
      <c r="SCP33" s="713"/>
      <c r="SCQ33" s="713"/>
      <c r="SCR33" s="713"/>
      <c r="SCS33" s="713"/>
      <c r="SCT33" s="713"/>
      <c r="SCU33" s="713"/>
      <c r="SCV33" s="713"/>
      <c r="SCW33" s="713"/>
      <c r="SCX33" s="713"/>
      <c r="SCY33" s="713"/>
      <c r="SCZ33" s="713"/>
      <c r="SDA33" s="713"/>
      <c r="SDB33" s="713"/>
      <c r="SDC33" s="713"/>
      <c r="SDD33" s="713"/>
      <c r="SDE33" s="713"/>
      <c r="SDF33" s="713"/>
      <c r="SDG33" s="713"/>
      <c r="SDH33" s="713"/>
      <c r="SDI33" s="713"/>
      <c r="SDJ33" s="713"/>
      <c r="SDK33" s="713"/>
      <c r="SDL33" s="713"/>
      <c r="SDM33" s="713"/>
      <c r="SDN33" s="713"/>
      <c r="SDO33" s="713"/>
      <c r="SDP33" s="713"/>
      <c r="SDQ33" s="713"/>
      <c r="SDR33" s="713"/>
      <c r="SDS33" s="713"/>
      <c r="SDT33" s="713"/>
      <c r="SDU33" s="713"/>
      <c r="SDV33" s="713"/>
      <c r="SDW33" s="713"/>
      <c r="SDX33" s="713"/>
      <c r="SDY33" s="713"/>
      <c r="SDZ33" s="713"/>
      <c r="SEA33" s="713"/>
      <c r="SEB33" s="713"/>
      <c r="SEC33" s="713"/>
      <c r="SED33" s="713"/>
      <c r="SEE33" s="713"/>
      <c r="SEF33" s="713"/>
      <c r="SEG33" s="713"/>
      <c r="SEH33" s="713"/>
      <c r="SEI33" s="713"/>
      <c r="SEJ33" s="713"/>
      <c r="SEK33" s="713"/>
      <c r="SEL33" s="713"/>
      <c r="SEM33" s="713"/>
      <c r="SEN33" s="713"/>
      <c r="SEO33" s="713"/>
      <c r="SEP33" s="713"/>
      <c r="SEQ33" s="713"/>
      <c r="SER33" s="713"/>
      <c r="SES33" s="713"/>
      <c r="SET33" s="713"/>
      <c r="SEU33" s="713"/>
      <c r="SEV33" s="713"/>
      <c r="SEW33" s="713"/>
      <c r="SEX33" s="713"/>
      <c r="SEY33" s="713"/>
      <c r="SEZ33" s="713"/>
      <c r="SFA33" s="713"/>
      <c r="SFB33" s="713"/>
      <c r="SFC33" s="713"/>
      <c r="SFD33" s="713"/>
      <c r="SFE33" s="713"/>
      <c r="SFF33" s="713"/>
      <c r="SFG33" s="713"/>
      <c r="SFH33" s="713"/>
      <c r="SFI33" s="713"/>
      <c r="SFJ33" s="713"/>
      <c r="SFK33" s="713"/>
      <c r="SFL33" s="713"/>
      <c r="SFM33" s="713"/>
      <c r="SFN33" s="713"/>
      <c r="SFO33" s="713"/>
      <c r="SFP33" s="713"/>
      <c r="SFQ33" s="713"/>
      <c r="SFR33" s="713"/>
      <c r="SFS33" s="713"/>
      <c r="SFT33" s="713"/>
      <c r="SFU33" s="713"/>
      <c r="SFV33" s="713"/>
      <c r="SFW33" s="713"/>
      <c r="SFX33" s="713"/>
      <c r="SFY33" s="713"/>
      <c r="SFZ33" s="713"/>
      <c r="SGA33" s="713"/>
      <c r="SGB33" s="713"/>
      <c r="SGC33" s="713"/>
      <c r="SGD33" s="713"/>
      <c r="SGE33" s="713"/>
      <c r="SGF33" s="713"/>
      <c r="SGG33" s="713"/>
      <c r="SGH33" s="713"/>
      <c r="SGI33" s="713"/>
      <c r="SGJ33" s="713"/>
      <c r="SGK33" s="713"/>
      <c r="SGL33" s="713"/>
      <c r="SGM33" s="713"/>
      <c r="SGN33" s="713"/>
      <c r="SGO33" s="713"/>
      <c r="SGP33" s="713"/>
      <c r="SGQ33" s="713"/>
      <c r="SGR33" s="713"/>
      <c r="SGS33" s="713"/>
      <c r="SGT33" s="713"/>
      <c r="SGU33" s="713"/>
      <c r="SGV33" s="713"/>
      <c r="SGW33" s="713"/>
      <c r="SGX33" s="713"/>
      <c r="SGY33" s="713"/>
      <c r="SGZ33" s="713"/>
      <c r="SHA33" s="713"/>
      <c r="SHB33" s="713"/>
      <c r="SHC33" s="713"/>
      <c r="SHD33" s="713"/>
      <c r="SHE33" s="713"/>
      <c r="SHF33" s="713"/>
      <c r="SHG33" s="713"/>
      <c r="SHH33" s="713"/>
      <c r="SHI33" s="713"/>
      <c r="SHJ33" s="713"/>
      <c r="SHK33" s="713"/>
      <c r="SHL33" s="713"/>
      <c r="SHM33" s="713"/>
      <c r="SHN33" s="713"/>
      <c r="SHO33" s="713"/>
      <c r="SHP33" s="713"/>
      <c r="SHQ33" s="713"/>
      <c r="SHR33" s="713"/>
      <c r="SHS33" s="713"/>
      <c r="SHT33" s="713"/>
      <c r="SHU33" s="713"/>
      <c r="SHV33" s="713"/>
      <c r="SHW33" s="713"/>
      <c r="SHX33" s="713"/>
      <c r="SHY33" s="713"/>
      <c r="SHZ33" s="713"/>
      <c r="SIA33" s="713"/>
      <c r="SIB33" s="713"/>
      <c r="SIC33" s="713"/>
      <c r="SID33" s="713"/>
      <c r="SIE33" s="713"/>
      <c r="SIF33" s="713"/>
      <c r="SIG33" s="713"/>
      <c r="SIH33" s="713"/>
      <c r="SII33" s="713"/>
      <c r="SIJ33" s="713"/>
      <c r="SIK33" s="713"/>
      <c r="SIL33" s="713"/>
      <c r="SIM33" s="713"/>
      <c r="SIN33" s="713"/>
      <c r="SIO33" s="713"/>
      <c r="SIP33" s="713"/>
      <c r="SIQ33" s="713"/>
      <c r="SIR33" s="713"/>
      <c r="SIS33" s="713"/>
      <c r="SIT33" s="713"/>
      <c r="SIU33" s="713"/>
      <c r="SIV33" s="713"/>
      <c r="SIW33" s="713"/>
      <c r="SIX33" s="713"/>
      <c r="SIY33" s="713"/>
      <c r="SIZ33" s="713"/>
      <c r="SJA33" s="713"/>
      <c r="SJB33" s="713"/>
      <c r="SJC33" s="713"/>
      <c r="SJD33" s="713"/>
      <c r="SJE33" s="713"/>
      <c r="SJF33" s="713"/>
      <c r="SJG33" s="713"/>
      <c r="SJH33" s="713"/>
      <c r="SJI33" s="713"/>
      <c r="SJJ33" s="713"/>
      <c r="SJK33" s="713"/>
      <c r="SJL33" s="713"/>
      <c r="SJM33" s="713"/>
      <c r="SJN33" s="713"/>
      <c r="SJO33" s="713"/>
      <c r="SJP33" s="713"/>
      <c r="SJQ33" s="713"/>
      <c r="SJR33" s="713"/>
      <c r="SJS33" s="713"/>
      <c r="SJT33" s="713"/>
      <c r="SJU33" s="713"/>
      <c r="SJV33" s="713"/>
      <c r="SJW33" s="713"/>
      <c r="SJX33" s="713"/>
      <c r="SJY33" s="713"/>
      <c r="SJZ33" s="713"/>
      <c r="SKA33" s="713"/>
      <c r="SKB33" s="713"/>
      <c r="SKC33" s="713"/>
      <c r="SKD33" s="713"/>
      <c r="SKE33" s="713"/>
      <c r="SKF33" s="713"/>
      <c r="SKG33" s="713"/>
      <c r="SKH33" s="713"/>
      <c r="SKI33" s="713"/>
      <c r="SKJ33" s="713"/>
      <c r="SKK33" s="713"/>
      <c r="SKL33" s="713"/>
      <c r="SKM33" s="713"/>
      <c r="SKN33" s="713"/>
      <c r="SKO33" s="713"/>
      <c r="SKP33" s="713"/>
      <c r="SKQ33" s="713"/>
      <c r="SKR33" s="713"/>
      <c r="SKS33" s="713"/>
      <c r="SKT33" s="713"/>
      <c r="SKU33" s="713"/>
      <c r="SKV33" s="713"/>
      <c r="SKW33" s="713"/>
      <c r="SKX33" s="713"/>
      <c r="SKY33" s="713"/>
      <c r="SKZ33" s="713"/>
      <c r="SLA33" s="713"/>
      <c r="SLB33" s="713"/>
      <c r="SLC33" s="713"/>
      <c r="SLD33" s="713"/>
      <c r="SLE33" s="713"/>
      <c r="SLF33" s="713"/>
      <c r="SLG33" s="713"/>
      <c r="SLH33" s="713"/>
      <c r="SLI33" s="713"/>
      <c r="SLJ33" s="713"/>
      <c r="SLK33" s="713"/>
      <c r="SLL33" s="713"/>
      <c r="SLM33" s="713"/>
      <c r="SLN33" s="713"/>
      <c r="SLO33" s="713"/>
      <c r="SLP33" s="713"/>
      <c r="SLQ33" s="713"/>
      <c r="SLR33" s="713"/>
      <c r="SLS33" s="713"/>
      <c r="SLT33" s="713"/>
      <c r="SLU33" s="713"/>
      <c r="SLV33" s="713"/>
      <c r="SLW33" s="713"/>
      <c r="SLX33" s="713"/>
      <c r="SLY33" s="713"/>
      <c r="SLZ33" s="713"/>
      <c r="SMA33" s="713"/>
      <c r="SMB33" s="713"/>
      <c r="SMC33" s="713"/>
      <c r="SMD33" s="713"/>
      <c r="SME33" s="713"/>
      <c r="SMF33" s="713"/>
      <c r="SMG33" s="713"/>
      <c r="SMH33" s="713"/>
      <c r="SMI33" s="713"/>
      <c r="SMJ33" s="713"/>
      <c r="SMK33" s="713"/>
      <c r="SML33" s="713"/>
      <c r="SMM33" s="713"/>
      <c r="SMN33" s="713"/>
      <c r="SMO33" s="713"/>
      <c r="SMP33" s="713"/>
      <c r="SMQ33" s="713"/>
      <c r="SMR33" s="713"/>
      <c r="SMS33" s="713"/>
      <c r="SMT33" s="713"/>
      <c r="SMU33" s="713"/>
      <c r="SMV33" s="713"/>
      <c r="SMW33" s="713"/>
      <c r="SMX33" s="713"/>
      <c r="SMY33" s="713"/>
      <c r="SMZ33" s="713"/>
      <c r="SNA33" s="713"/>
      <c r="SNB33" s="713"/>
      <c r="SNC33" s="713"/>
      <c r="SND33" s="713"/>
      <c r="SNE33" s="713"/>
      <c r="SNF33" s="713"/>
      <c r="SNG33" s="713"/>
      <c r="SNH33" s="713"/>
      <c r="SNI33" s="713"/>
      <c r="SNJ33" s="713"/>
      <c r="SNK33" s="713"/>
      <c r="SNL33" s="713"/>
      <c r="SNM33" s="713"/>
      <c r="SNN33" s="713"/>
      <c r="SNO33" s="713"/>
      <c r="SNP33" s="713"/>
      <c r="SNQ33" s="713"/>
      <c r="SNR33" s="713"/>
      <c r="SNS33" s="713"/>
      <c r="SNT33" s="713"/>
      <c r="SNU33" s="713"/>
      <c r="SNV33" s="713"/>
      <c r="SNW33" s="713"/>
      <c r="SNX33" s="713"/>
      <c r="SNY33" s="713"/>
      <c r="SNZ33" s="713"/>
      <c r="SOA33" s="713"/>
      <c r="SOB33" s="713"/>
      <c r="SOC33" s="713"/>
      <c r="SOD33" s="713"/>
      <c r="SOE33" s="713"/>
      <c r="SOF33" s="713"/>
      <c r="SOG33" s="713"/>
      <c r="SOH33" s="713"/>
      <c r="SOI33" s="713"/>
      <c r="SOJ33" s="713"/>
      <c r="SOK33" s="713"/>
      <c r="SOL33" s="713"/>
      <c r="SOM33" s="713"/>
      <c r="SON33" s="713"/>
      <c r="SOO33" s="713"/>
      <c r="SOP33" s="713"/>
      <c r="SOQ33" s="713"/>
      <c r="SOR33" s="713"/>
      <c r="SOS33" s="713"/>
      <c r="SOT33" s="713"/>
      <c r="SOU33" s="713"/>
      <c r="SOV33" s="713"/>
      <c r="SOW33" s="713"/>
      <c r="SOX33" s="713"/>
      <c r="SOY33" s="713"/>
      <c r="SOZ33" s="713"/>
      <c r="SPA33" s="713"/>
      <c r="SPB33" s="713"/>
      <c r="SPC33" s="713"/>
      <c r="SPD33" s="713"/>
      <c r="SPE33" s="713"/>
      <c r="SPF33" s="713"/>
      <c r="SPG33" s="713"/>
      <c r="SPH33" s="713"/>
      <c r="SPI33" s="713"/>
      <c r="SPJ33" s="713"/>
      <c r="SPK33" s="713"/>
      <c r="SPL33" s="713"/>
      <c r="SPM33" s="713"/>
      <c r="SPN33" s="713"/>
      <c r="SPO33" s="713"/>
      <c r="SPP33" s="713"/>
      <c r="SPQ33" s="713"/>
      <c r="SPR33" s="713"/>
      <c r="SPS33" s="713"/>
      <c r="SPT33" s="713"/>
      <c r="SPU33" s="713"/>
      <c r="SPV33" s="713"/>
      <c r="SPW33" s="713"/>
      <c r="SPX33" s="713"/>
      <c r="SPY33" s="713"/>
      <c r="SPZ33" s="713"/>
      <c r="SQA33" s="713"/>
      <c r="SQB33" s="713"/>
      <c r="SQC33" s="713"/>
      <c r="SQD33" s="713"/>
      <c r="SQE33" s="713"/>
      <c r="SQF33" s="713"/>
      <c r="SQG33" s="713"/>
      <c r="SQH33" s="713"/>
      <c r="SQI33" s="713"/>
      <c r="SQJ33" s="713"/>
      <c r="SQK33" s="713"/>
      <c r="SQL33" s="713"/>
      <c r="SQM33" s="713"/>
      <c r="SQN33" s="713"/>
      <c r="SQO33" s="713"/>
      <c r="SQP33" s="713"/>
      <c r="SQQ33" s="713"/>
      <c r="SQR33" s="713"/>
      <c r="SQS33" s="713"/>
      <c r="SQT33" s="713"/>
      <c r="SQU33" s="713"/>
      <c r="SQV33" s="713"/>
      <c r="SQW33" s="713"/>
      <c r="SQX33" s="713"/>
      <c r="SQY33" s="713"/>
      <c r="SQZ33" s="713"/>
      <c r="SRA33" s="713"/>
      <c r="SRB33" s="713"/>
      <c r="SRC33" s="713"/>
      <c r="SRD33" s="713"/>
      <c r="SRE33" s="713"/>
      <c r="SRF33" s="713"/>
      <c r="SRG33" s="713"/>
      <c r="SRH33" s="713"/>
      <c r="SRI33" s="713"/>
      <c r="SRJ33" s="713"/>
      <c r="SRK33" s="713"/>
      <c r="SRL33" s="713"/>
      <c r="SRM33" s="713"/>
      <c r="SRN33" s="713"/>
      <c r="SRO33" s="713"/>
      <c r="SRP33" s="713"/>
      <c r="SRQ33" s="713"/>
      <c r="SRR33" s="713"/>
      <c r="SRS33" s="713"/>
      <c r="SRT33" s="713"/>
      <c r="SRU33" s="713"/>
      <c r="SRV33" s="713"/>
      <c r="SRW33" s="713"/>
      <c r="SRX33" s="713"/>
      <c r="SRY33" s="713"/>
      <c r="SRZ33" s="713"/>
      <c r="SSA33" s="713"/>
      <c r="SSB33" s="713"/>
      <c r="SSC33" s="713"/>
      <c r="SSD33" s="713"/>
      <c r="SSE33" s="713"/>
      <c r="SSF33" s="713"/>
      <c r="SSG33" s="713"/>
      <c r="SSH33" s="713"/>
      <c r="SSI33" s="713"/>
      <c r="SSJ33" s="713"/>
      <c r="SSK33" s="713"/>
      <c r="SSL33" s="713"/>
      <c r="SSM33" s="713"/>
      <c r="SSN33" s="713"/>
      <c r="SSO33" s="713"/>
      <c r="SSP33" s="713"/>
      <c r="SSQ33" s="713"/>
      <c r="SSR33" s="713"/>
      <c r="SSS33" s="713"/>
      <c r="SST33" s="713"/>
      <c r="SSU33" s="713"/>
      <c r="SSV33" s="713"/>
      <c r="SSW33" s="713"/>
      <c r="SSX33" s="713"/>
      <c r="SSY33" s="713"/>
      <c r="SSZ33" s="713"/>
      <c r="STA33" s="713"/>
      <c r="STB33" s="713"/>
      <c r="STC33" s="713"/>
      <c r="STD33" s="713"/>
      <c r="STE33" s="713"/>
      <c r="STF33" s="713"/>
      <c r="STG33" s="713"/>
      <c r="STH33" s="713"/>
      <c r="STI33" s="713"/>
      <c r="STJ33" s="713"/>
      <c r="STK33" s="713"/>
      <c r="STL33" s="713"/>
      <c r="STM33" s="713"/>
      <c r="STN33" s="713"/>
      <c r="STO33" s="713"/>
      <c r="STP33" s="713"/>
      <c r="STQ33" s="713"/>
      <c r="STR33" s="713"/>
      <c r="STS33" s="713"/>
      <c r="STT33" s="713"/>
      <c r="STU33" s="713"/>
      <c r="STV33" s="713"/>
      <c r="STW33" s="713"/>
      <c r="STX33" s="713"/>
      <c r="STY33" s="713"/>
      <c r="STZ33" s="713"/>
      <c r="SUA33" s="713"/>
      <c r="SUB33" s="713"/>
      <c r="SUC33" s="713"/>
      <c r="SUD33" s="713"/>
      <c r="SUE33" s="713"/>
      <c r="SUF33" s="713"/>
      <c r="SUG33" s="713"/>
      <c r="SUH33" s="713"/>
      <c r="SUI33" s="713"/>
      <c r="SUJ33" s="713"/>
      <c r="SUK33" s="713"/>
      <c r="SUL33" s="713"/>
      <c r="SUM33" s="713"/>
      <c r="SUN33" s="713"/>
      <c r="SUO33" s="713"/>
      <c r="SUP33" s="713"/>
      <c r="SUQ33" s="713"/>
      <c r="SUR33" s="713"/>
      <c r="SUS33" s="713"/>
      <c r="SUT33" s="713"/>
      <c r="SUU33" s="713"/>
      <c r="SUV33" s="713"/>
      <c r="SUW33" s="713"/>
      <c r="SUX33" s="713"/>
      <c r="SUY33" s="713"/>
      <c r="SUZ33" s="713"/>
      <c r="SVA33" s="713"/>
      <c r="SVB33" s="713"/>
      <c r="SVC33" s="713"/>
      <c r="SVD33" s="713"/>
      <c r="SVE33" s="713"/>
      <c r="SVF33" s="713"/>
      <c r="SVG33" s="713"/>
      <c r="SVH33" s="713"/>
      <c r="SVI33" s="713"/>
      <c r="SVJ33" s="713"/>
      <c r="SVK33" s="713"/>
      <c r="SVL33" s="713"/>
      <c r="SVM33" s="713"/>
      <c r="SVN33" s="713"/>
      <c r="SVO33" s="713"/>
      <c r="SVP33" s="713"/>
      <c r="SVQ33" s="713"/>
      <c r="SVR33" s="713"/>
      <c r="SVS33" s="713"/>
      <c r="SVT33" s="713"/>
      <c r="SVU33" s="713"/>
      <c r="SVV33" s="713"/>
      <c r="SVW33" s="713"/>
      <c r="SVX33" s="713"/>
      <c r="SVY33" s="713"/>
      <c r="SVZ33" s="713"/>
      <c r="SWA33" s="713"/>
      <c r="SWB33" s="713"/>
      <c r="SWC33" s="713"/>
      <c r="SWD33" s="713"/>
      <c r="SWE33" s="713"/>
      <c r="SWF33" s="713"/>
      <c r="SWG33" s="713"/>
      <c r="SWH33" s="713"/>
      <c r="SWI33" s="713"/>
      <c r="SWJ33" s="713"/>
      <c r="SWK33" s="713"/>
      <c r="SWL33" s="713"/>
      <c r="SWM33" s="713"/>
      <c r="SWN33" s="713"/>
      <c r="SWO33" s="713"/>
      <c r="SWP33" s="713"/>
      <c r="SWQ33" s="713"/>
      <c r="SWR33" s="713"/>
      <c r="SWS33" s="713"/>
      <c r="SWT33" s="713"/>
      <c r="SWU33" s="713"/>
      <c r="SWV33" s="713"/>
      <c r="SWW33" s="713"/>
      <c r="SWX33" s="713"/>
      <c r="SWY33" s="713"/>
      <c r="SWZ33" s="713"/>
      <c r="SXA33" s="713"/>
      <c r="SXB33" s="713"/>
      <c r="SXC33" s="713"/>
      <c r="SXD33" s="713"/>
      <c r="SXE33" s="713"/>
      <c r="SXF33" s="713"/>
      <c r="SXG33" s="713"/>
      <c r="SXH33" s="713"/>
      <c r="SXI33" s="713"/>
      <c r="SXJ33" s="713"/>
      <c r="SXK33" s="713"/>
      <c r="SXL33" s="713"/>
      <c r="SXM33" s="713"/>
      <c r="SXN33" s="713"/>
      <c r="SXO33" s="713"/>
      <c r="SXP33" s="713"/>
      <c r="SXQ33" s="713"/>
      <c r="SXR33" s="713"/>
      <c r="SXS33" s="713"/>
      <c r="SXT33" s="713"/>
      <c r="SXU33" s="713"/>
      <c r="SXV33" s="713"/>
      <c r="SXW33" s="713"/>
      <c r="SXX33" s="713"/>
      <c r="SXY33" s="713"/>
      <c r="SXZ33" s="713"/>
      <c r="SYA33" s="713"/>
      <c r="SYB33" s="713"/>
      <c r="SYC33" s="713"/>
      <c r="SYD33" s="713"/>
      <c r="SYE33" s="713"/>
      <c r="SYF33" s="713"/>
      <c r="SYG33" s="713"/>
      <c r="SYH33" s="713"/>
      <c r="SYI33" s="713"/>
      <c r="SYJ33" s="713"/>
      <c r="SYK33" s="713"/>
      <c r="SYL33" s="713"/>
      <c r="SYM33" s="713"/>
      <c r="SYN33" s="713"/>
      <c r="SYO33" s="713"/>
      <c r="SYP33" s="713"/>
      <c r="SYQ33" s="713"/>
      <c r="SYR33" s="713"/>
      <c r="SYS33" s="713"/>
      <c r="SYT33" s="713"/>
      <c r="SYU33" s="713"/>
      <c r="SYV33" s="713"/>
      <c r="SYW33" s="713"/>
      <c r="SYX33" s="713"/>
      <c r="SYY33" s="713"/>
      <c r="SYZ33" s="713"/>
      <c r="SZA33" s="713"/>
      <c r="SZB33" s="713"/>
      <c r="SZC33" s="713"/>
      <c r="SZD33" s="713"/>
      <c r="SZE33" s="713"/>
      <c r="SZF33" s="713"/>
      <c r="SZG33" s="713"/>
      <c r="SZH33" s="713"/>
      <c r="SZI33" s="713"/>
      <c r="SZJ33" s="713"/>
      <c r="SZK33" s="713"/>
      <c r="SZL33" s="713"/>
      <c r="SZM33" s="713"/>
      <c r="SZN33" s="713"/>
      <c r="SZO33" s="713"/>
      <c r="SZP33" s="713"/>
      <c r="SZQ33" s="713"/>
      <c r="SZR33" s="713"/>
      <c r="SZS33" s="713"/>
      <c r="SZT33" s="713"/>
      <c r="SZU33" s="713"/>
      <c r="SZV33" s="713"/>
      <c r="SZW33" s="713"/>
      <c r="SZX33" s="713"/>
      <c r="SZY33" s="713"/>
      <c r="SZZ33" s="713"/>
      <c r="TAA33" s="713"/>
      <c r="TAB33" s="713"/>
      <c r="TAC33" s="713"/>
      <c r="TAD33" s="713"/>
      <c r="TAE33" s="713"/>
      <c r="TAF33" s="713"/>
      <c r="TAG33" s="713"/>
      <c r="TAH33" s="713"/>
      <c r="TAI33" s="713"/>
      <c r="TAJ33" s="713"/>
      <c r="TAK33" s="713"/>
      <c r="TAL33" s="713"/>
      <c r="TAM33" s="713"/>
      <c r="TAN33" s="713"/>
      <c r="TAO33" s="713"/>
      <c r="TAP33" s="713"/>
      <c r="TAQ33" s="713"/>
      <c r="TAR33" s="713"/>
      <c r="TAS33" s="713"/>
      <c r="TAT33" s="713"/>
      <c r="TAU33" s="713"/>
      <c r="TAV33" s="713"/>
      <c r="TAW33" s="713"/>
      <c r="TAX33" s="713"/>
      <c r="TAY33" s="713"/>
      <c r="TAZ33" s="713"/>
      <c r="TBA33" s="713"/>
      <c r="TBB33" s="713"/>
      <c r="TBC33" s="713"/>
      <c r="TBD33" s="713"/>
      <c r="TBE33" s="713"/>
      <c r="TBF33" s="713"/>
      <c r="TBG33" s="713"/>
      <c r="TBH33" s="713"/>
      <c r="TBI33" s="713"/>
      <c r="TBJ33" s="713"/>
      <c r="TBK33" s="713"/>
      <c r="TBL33" s="713"/>
      <c r="TBM33" s="713"/>
      <c r="TBN33" s="713"/>
      <c r="TBO33" s="713"/>
      <c r="TBP33" s="713"/>
      <c r="TBQ33" s="713"/>
      <c r="TBR33" s="713"/>
      <c r="TBS33" s="713"/>
      <c r="TBT33" s="713"/>
      <c r="TBU33" s="713"/>
      <c r="TBV33" s="713"/>
      <c r="TBW33" s="713"/>
      <c r="TBX33" s="713"/>
      <c r="TBY33" s="713"/>
      <c r="TBZ33" s="713"/>
      <c r="TCA33" s="713"/>
      <c r="TCB33" s="713"/>
      <c r="TCC33" s="713"/>
      <c r="TCD33" s="713"/>
      <c r="TCE33" s="713"/>
      <c r="TCF33" s="713"/>
      <c r="TCG33" s="713"/>
      <c r="TCH33" s="713"/>
      <c r="TCI33" s="713"/>
      <c r="TCJ33" s="713"/>
      <c r="TCK33" s="713"/>
      <c r="TCL33" s="713"/>
      <c r="TCM33" s="713"/>
      <c r="TCN33" s="713"/>
      <c r="TCO33" s="713"/>
      <c r="TCP33" s="713"/>
      <c r="TCQ33" s="713"/>
      <c r="TCR33" s="713"/>
      <c r="TCS33" s="713"/>
      <c r="TCT33" s="713"/>
      <c r="TCU33" s="713"/>
      <c r="TCV33" s="713"/>
      <c r="TCW33" s="713"/>
      <c r="TCX33" s="713"/>
      <c r="TCY33" s="713"/>
      <c r="TCZ33" s="713"/>
      <c r="TDA33" s="713"/>
      <c r="TDB33" s="713"/>
      <c r="TDC33" s="713"/>
      <c r="TDD33" s="713"/>
      <c r="TDE33" s="713"/>
      <c r="TDF33" s="713"/>
      <c r="TDG33" s="713"/>
      <c r="TDH33" s="713"/>
      <c r="TDI33" s="713"/>
      <c r="TDJ33" s="713"/>
      <c r="TDK33" s="713"/>
      <c r="TDL33" s="713"/>
      <c r="TDM33" s="713"/>
      <c r="TDN33" s="713"/>
      <c r="TDO33" s="713"/>
      <c r="TDP33" s="713"/>
      <c r="TDQ33" s="713"/>
      <c r="TDR33" s="713"/>
      <c r="TDS33" s="713"/>
      <c r="TDT33" s="713"/>
      <c r="TDU33" s="713"/>
      <c r="TDV33" s="713"/>
      <c r="TDW33" s="713"/>
      <c r="TDX33" s="713"/>
      <c r="TDY33" s="713"/>
      <c r="TDZ33" s="713"/>
      <c r="TEA33" s="713"/>
      <c r="TEB33" s="713"/>
      <c r="TEC33" s="713"/>
      <c r="TED33" s="713"/>
      <c r="TEE33" s="713"/>
      <c r="TEF33" s="713"/>
      <c r="TEG33" s="713"/>
      <c r="TEH33" s="713"/>
      <c r="TEI33" s="713"/>
      <c r="TEJ33" s="713"/>
      <c r="TEK33" s="713"/>
      <c r="TEL33" s="713"/>
      <c r="TEM33" s="713"/>
      <c r="TEN33" s="713"/>
      <c r="TEO33" s="713"/>
      <c r="TEP33" s="713"/>
      <c r="TEQ33" s="713"/>
      <c r="TER33" s="713"/>
      <c r="TES33" s="713"/>
      <c r="TET33" s="713"/>
      <c r="TEU33" s="713"/>
      <c r="TEV33" s="713"/>
      <c r="TEW33" s="713"/>
      <c r="TEX33" s="713"/>
      <c r="TEY33" s="713"/>
      <c r="TEZ33" s="713"/>
      <c r="TFA33" s="713"/>
      <c r="TFB33" s="713"/>
      <c r="TFC33" s="713"/>
      <c r="TFD33" s="713"/>
      <c r="TFE33" s="713"/>
      <c r="TFF33" s="713"/>
      <c r="TFG33" s="713"/>
      <c r="TFH33" s="713"/>
      <c r="TFI33" s="713"/>
      <c r="TFJ33" s="713"/>
      <c r="TFK33" s="713"/>
      <c r="TFL33" s="713"/>
      <c r="TFM33" s="713"/>
      <c r="TFN33" s="713"/>
      <c r="TFO33" s="713"/>
      <c r="TFP33" s="713"/>
      <c r="TFQ33" s="713"/>
      <c r="TFR33" s="713"/>
      <c r="TFS33" s="713"/>
      <c r="TFT33" s="713"/>
      <c r="TFU33" s="713"/>
      <c r="TFV33" s="713"/>
      <c r="TFW33" s="713"/>
      <c r="TFX33" s="713"/>
      <c r="TFY33" s="713"/>
      <c r="TFZ33" s="713"/>
      <c r="TGA33" s="713"/>
      <c r="TGB33" s="713"/>
      <c r="TGC33" s="713"/>
      <c r="TGD33" s="713"/>
      <c r="TGE33" s="713"/>
      <c r="TGF33" s="713"/>
      <c r="TGG33" s="713"/>
      <c r="TGH33" s="713"/>
      <c r="TGI33" s="713"/>
      <c r="TGJ33" s="713"/>
      <c r="TGK33" s="713"/>
      <c r="TGL33" s="713"/>
      <c r="TGM33" s="713"/>
      <c r="TGN33" s="713"/>
      <c r="TGO33" s="713"/>
      <c r="TGP33" s="713"/>
      <c r="TGQ33" s="713"/>
      <c r="TGR33" s="713"/>
      <c r="TGS33" s="713"/>
      <c r="TGT33" s="713"/>
      <c r="TGU33" s="713"/>
      <c r="TGV33" s="713"/>
      <c r="TGW33" s="713"/>
      <c r="TGX33" s="713"/>
      <c r="TGY33" s="713"/>
      <c r="TGZ33" s="713"/>
      <c r="THA33" s="713"/>
      <c r="THB33" s="713"/>
      <c r="THC33" s="713"/>
      <c r="THD33" s="713"/>
      <c r="THE33" s="713"/>
      <c r="THF33" s="713"/>
      <c r="THG33" s="713"/>
      <c r="THH33" s="713"/>
      <c r="THI33" s="713"/>
      <c r="THJ33" s="713"/>
      <c r="THK33" s="713"/>
      <c r="THL33" s="713"/>
      <c r="THM33" s="713"/>
      <c r="THN33" s="713"/>
      <c r="THO33" s="713"/>
      <c r="THP33" s="713"/>
      <c r="THQ33" s="713"/>
      <c r="THR33" s="713"/>
      <c r="THS33" s="713"/>
      <c r="THT33" s="713"/>
      <c r="THU33" s="713"/>
      <c r="THV33" s="713"/>
      <c r="THW33" s="713"/>
      <c r="THX33" s="713"/>
      <c r="THY33" s="713"/>
      <c r="THZ33" s="713"/>
      <c r="TIA33" s="713"/>
      <c r="TIB33" s="713"/>
      <c r="TIC33" s="713"/>
      <c r="TID33" s="713"/>
      <c r="TIE33" s="713"/>
      <c r="TIF33" s="713"/>
      <c r="TIG33" s="713"/>
      <c r="TIH33" s="713"/>
      <c r="TII33" s="713"/>
      <c r="TIJ33" s="713"/>
      <c r="TIK33" s="713"/>
      <c r="TIL33" s="713"/>
      <c r="TIM33" s="713"/>
      <c r="TIN33" s="713"/>
      <c r="TIO33" s="713"/>
      <c r="TIP33" s="713"/>
      <c r="TIQ33" s="713"/>
      <c r="TIR33" s="713"/>
      <c r="TIS33" s="713"/>
      <c r="TIT33" s="713"/>
      <c r="TIU33" s="713"/>
      <c r="TIV33" s="713"/>
      <c r="TIW33" s="713"/>
      <c r="TIX33" s="713"/>
      <c r="TIY33" s="713"/>
      <c r="TIZ33" s="713"/>
      <c r="TJA33" s="713"/>
      <c r="TJB33" s="713"/>
      <c r="TJC33" s="713"/>
      <c r="TJD33" s="713"/>
      <c r="TJE33" s="713"/>
      <c r="TJF33" s="713"/>
      <c r="TJG33" s="713"/>
      <c r="TJH33" s="713"/>
      <c r="TJI33" s="713"/>
      <c r="TJJ33" s="713"/>
      <c r="TJK33" s="713"/>
      <c r="TJL33" s="713"/>
      <c r="TJM33" s="713"/>
      <c r="TJN33" s="713"/>
      <c r="TJO33" s="713"/>
      <c r="TJP33" s="713"/>
      <c r="TJQ33" s="713"/>
      <c r="TJR33" s="713"/>
      <c r="TJS33" s="713"/>
      <c r="TJT33" s="713"/>
      <c r="TJU33" s="713"/>
      <c r="TJV33" s="713"/>
      <c r="TJW33" s="713"/>
      <c r="TJX33" s="713"/>
      <c r="TJY33" s="713"/>
      <c r="TJZ33" s="713"/>
      <c r="TKA33" s="713"/>
      <c r="TKB33" s="713"/>
      <c r="TKC33" s="713"/>
      <c r="TKD33" s="713"/>
      <c r="TKE33" s="713"/>
      <c r="TKF33" s="713"/>
      <c r="TKG33" s="713"/>
      <c r="TKH33" s="713"/>
      <c r="TKI33" s="713"/>
      <c r="TKJ33" s="713"/>
      <c r="TKK33" s="713"/>
      <c r="TKL33" s="713"/>
      <c r="TKM33" s="713"/>
      <c r="TKN33" s="713"/>
      <c r="TKO33" s="713"/>
      <c r="TKP33" s="713"/>
      <c r="TKQ33" s="713"/>
      <c r="TKR33" s="713"/>
      <c r="TKS33" s="713"/>
      <c r="TKT33" s="713"/>
      <c r="TKU33" s="713"/>
      <c r="TKV33" s="713"/>
      <c r="TKW33" s="713"/>
      <c r="TKX33" s="713"/>
      <c r="TKY33" s="713"/>
      <c r="TKZ33" s="713"/>
      <c r="TLA33" s="713"/>
      <c r="TLB33" s="713"/>
      <c r="TLC33" s="713"/>
      <c r="TLD33" s="713"/>
      <c r="TLE33" s="713"/>
      <c r="TLF33" s="713"/>
      <c r="TLG33" s="713"/>
      <c r="TLH33" s="713"/>
      <c r="TLI33" s="713"/>
      <c r="TLJ33" s="713"/>
      <c r="TLK33" s="713"/>
      <c r="TLL33" s="713"/>
      <c r="TLM33" s="713"/>
      <c r="TLN33" s="713"/>
      <c r="TLO33" s="713"/>
      <c r="TLP33" s="713"/>
      <c r="TLQ33" s="713"/>
      <c r="TLR33" s="713"/>
      <c r="TLS33" s="713"/>
      <c r="TLT33" s="713"/>
      <c r="TLU33" s="713"/>
      <c r="TLV33" s="713"/>
      <c r="TLW33" s="713"/>
      <c r="TLX33" s="713"/>
      <c r="TLY33" s="713"/>
      <c r="TLZ33" s="713"/>
      <c r="TMA33" s="713"/>
      <c r="TMB33" s="713"/>
      <c r="TMC33" s="713"/>
      <c r="TMD33" s="713"/>
      <c r="TME33" s="713"/>
      <c r="TMF33" s="713"/>
      <c r="TMG33" s="713"/>
      <c r="TMH33" s="713"/>
      <c r="TMI33" s="713"/>
      <c r="TMJ33" s="713"/>
      <c r="TMK33" s="713"/>
      <c r="TML33" s="713"/>
      <c r="TMM33" s="713"/>
      <c r="TMN33" s="713"/>
      <c r="TMO33" s="713"/>
      <c r="TMP33" s="713"/>
      <c r="TMQ33" s="713"/>
      <c r="TMR33" s="713"/>
      <c r="TMS33" s="713"/>
      <c r="TMT33" s="713"/>
      <c r="TMU33" s="713"/>
      <c r="TMV33" s="713"/>
      <c r="TMW33" s="713"/>
      <c r="TMX33" s="713"/>
      <c r="TMY33" s="713"/>
      <c r="TMZ33" s="713"/>
      <c r="TNA33" s="713"/>
      <c r="TNB33" s="713"/>
      <c r="TNC33" s="713"/>
      <c r="TND33" s="713"/>
      <c r="TNE33" s="713"/>
      <c r="TNF33" s="713"/>
      <c r="TNG33" s="713"/>
      <c r="TNH33" s="713"/>
      <c r="TNI33" s="713"/>
      <c r="TNJ33" s="713"/>
      <c r="TNK33" s="713"/>
      <c r="TNL33" s="713"/>
      <c r="TNM33" s="713"/>
      <c r="TNN33" s="713"/>
      <c r="TNO33" s="713"/>
      <c r="TNP33" s="713"/>
      <c r="TNQ33" s="713"/>
      <c r="TNR33" s="713"/>
      <c r="TNS33" s="713"/>
      <c r="TNT33" s="713"/>
      <c r="TNU33" s="713"/>
      <c r="TNV33" s="713"/>
      <c r="TNW33" s="713"/>
      <c r="TNX33" s="713"/>
      <c r="TNY33" s="713"/>
      <c r="TNZ33" s="713"/>
      <c r="TOA33" s="713"/>
      <c r="TOB33" s="713"/>
      <c r="TOC33" s="713"/>
      <c r="TOD33" s="713"/>
      <c r="TOE33" s="713"/>
      <c r="TOF33" s="713"/>
      <c r="TOG33" s="713"/>
      <c r="TOH33" s="713"/>
      <c r="TOI33" s="713"/>
      <c r="TOJ33" s="713"/>
      <c r="TOK33" s="713"/>
      <c r="TOL33" s="713"/>
      <c r="TOM33" s="713"/>
      <c r="TON33" s="713"/>
      <c r="TOO33" s="713"/>
      <c r="TOP33" s="713"/>
      <c r="TOQ33" s="713"/>
      <c r="TOR33" s="713"/>
      <c r="TOS33" s="713"/>
      <c r="TOT33" s="713"/>
      <c r="TOU33" s="713"/>
      <c r="TOV33" s="713"/>
      <c r="TOW33" s="713"/>
      <c r="TOX33" s="713"/>
      <c r="TOY33" s="713"/>
      <c r="TOZ33" s="713"/>
      <c r="TPA33" s="713"/>
      <c r="TPB33" s="713"/>
      <c r="TPC33" s="713"/>
      <c r="TPD33" s="713"/>
      <c r="TPE33" s="713"/>
      <c r="TPF33" s="713"/>
      <c r="TPG33" s="713"/>
      <c r="TPH33" s="713"/>
      <c r="TPI33" s="713"/>
      <c r="TPJ33" s="713"/>
      <c r="TPK33" s="713"/>
      <c r="TPL33" s="713"/>
      <c r="TPM33" s="713"/>
      <c r="TPN33" s="713"/>
      <c r="TPO33" s="713"/>
      <c r="TPP33" s="713"/>
      <c r="TPQ33" s="713"/>
      <c r="TPR33" s="713"/>
      <c r="TPS33" s="713"/>
      <c r="TPT33" s="713"/>
      <c r="TPU33" s="713"/>
      <c r="TPV33" s="713"/>
      <c r="TPW33" s="713"/>
      <c r="TPX33" s="713"/>
      <c r="TPY33" s="713"/>
      <c r="TPZ33" s="713"/>
      <c r="TQA33" s="713"/>
      <c r="TQB33" s="713"/>
      <c r="TQC33" s="713"/>
      <c r="TQD33" s="713"/>
      <c r="TQE33" s="713"/>
      <c r="TQF33" s="713"/>
      <c r="TQG33" s="713"/>
      <c r="TQH33" s="713"/>
      <c r="TQI33" s="713"/>
      <c r="TQJ33" s="713"/>
      <c r="TQK33" s="713"/>
      <c r="TQL33" s="713"/>
      <c r="TQM33" s="713"/>
      <c r="TQN33" s="713"/>
      <c r="TQO33" s="713"/>
      <c r="TQP33" s="713"/>
      <c r="TQQ33" s="713"/>
      <c r="TQR33" s="713"/>
      <c r="TQS33" s="713"/>
      <c r="TQT33" s="713"/>
      <c r="TQU33" s="713"/>
      <c r="TQV33" s="713"/>
      <c r="TQW33" s="713"/>
      <c r="TQX33" s="713"/>
      <c r="TQY33" s="713"/>
      <c r="TQZ33" s="713"/>
      <c r="TRA33" s="713"/>
      <c r="TRB33" s="713"/>
      <c r="TRC33" s="713"/>
      <c r="TRD33" s="713"/>
      <c r="TRE33" s="713"/>
      <c r="TRF33" s="713"/>
      <c r="TRG33" s="713"/>
      <c r="TRH33" s="713"/>
      <c r="TRI33" s="713"/>
      <c r="TRJ33" s="713"/>
      <c r="TRK33" s="713"/>
      <c r="TRL33" s="713"/>
      <c r="TRM33" s="713"/>
      <c r="TRN33" s="713"/>
      <c r="TRO33" s="713"/>
      <c r="TRP33" s="713"/>
      <c r="TRQ33" s="713"/>
      <c r="TRR33" s="713"/>
      <c r="TRS33" s="713"/>
      <c r="TRT33" s="713"/>
      <c r="TRU33" s="713"/>
      <c r="TRV33" s="713"/>
      <c r="TRW33" s="713"/>
      <c r="TRX33" s="713"/>
      <c r="TRY33" s="713"/>
      <c r="TRZ33" s="713"/>
      <c r="TSA33" s="713"/>
      <c r="TSB33" s="713"/>
      <c r="TSC33" s="713"/>
      <c r="TSD33" s="713"/>
      <c r="TSE33" s="713"/>
      <c r="TSF33" s="713"/>
      <c r="TSG33" s="713"/>
      <c r="TSH33" s="713"/>
      <c r="TSI33" s="713"/>
      <c r="TSJ33" s="713"/>
      <c r="TSK33" s="713"/>
      <c r="TSL33" s="713"/>
      <c r="TSM33" s="713"/>
      <c r="TSN33" s="713"/>
      <c r="TSO33" s="713"/>
      <c r="TSP33" s="713"/>
      <c r="TSQ33" s="713"/>
      <c r="TSR33" s="713"/>
      <c r="TSS33" s="713"/>
      <c r="TST33" s="713"/>
      <c r="TSU33" s="713"/>
      <c r="TSV33" s="713"/>
      <c r="TSW33" s="713"/>
      <c r="TSX33" s="713"/>
      <c r="TSY33" s="713"/>
      <c r="TSZ33" s="713"/>
      <c r="TTA33" s="713"/>
      <c r="TTB33" s="713"/>
      <c r="TTC33" s="713"/>
      <c r="TTD33" s="713"/>
      <c r="TTE33" s="713"/>
      <c r="TTF33" s="713"/>
      <c r="TTG33" s="713"/>
      <c r="TTH33" s="713"/>
      <c r="TTI33" s="713"/>
      <c r="TTJ33" s="713"/>
      <c r="TTK33" s="713"/>
      <c r="TTL33" s="713"/>
      <c r="TTM33" s="713"/>
      <c r="TTN33" s="713"/>
      <c r="TTO33" s="713"/>
      <c r="TTP33" s="713"/>
      <c r="TTQ33" s="713"/>
      <c r="TTR33" s="713"/>
      <c r="TTS33" s="713"/>
      <c r="TTT33" s="713"/>
      <c r="TTU33" s="713"/>
      <c r="TTV33" s="713"/>
      <c r="TTW33" s="713"/>
      <c r="TTX33" s="713"/>
      <c r="TTY33" s="713"/>
      <c r="TTZ33" s="713"/>
      <c r="TUA33" s="713"/>
      <c r="TUB33" s="713"/>
      <c r="TUC33" s="713"/>
      <c r="TUD33" s="713"/>
      <c r="TUE33" s="713"/>
      <c r="TUF33" s="713"/>
      <c r="TUG33" s="713"/>
      <c r="TUH33" s="713"/>
      <c r="TUI33" s="713"/>
      <c r="TUJ33" s="713"/>
      <c r="TUK33" s="713"/>
      <c r="TUL33" s="713"/>
      <c r="TUM33" s="713"/>
      <c r="TUN33" s="713"/>
      <c r="TUO33" s="713"/>
      <c r="TUP33" s="713"/>
      <c r="TUQ33" s="713"/>
      <c r="TUR33" s="713"/>
      <c r="TUS33" s="713"/>
      <c r="TUT33" s="713"/>
      <c r="TUU33" s="713"/>
      <c r="TUV33" s="713"/>
      <c r="TUW33" s="713"/>
      <c r="TUX33" s="713"/>
      <c r="TUY33" s="713"/>
      <c r="TUZ33" s="713"/>
      <c r="TVA33" s="713"/>
      <c r="TVB33" s="713"/>
      <c r="TVC33" s="713"/>
      <c r="TVD33" s="713"/>
      <c r="TVE33" s="713"/>
      <c r="TVF33" s="713"/>
      <c r="TVG33" s="713"/>
      <c r="TVH33" s="713"/>
      <c r="TVI33" s="713"/>
      <c r="TVJ33" s="713"/>
      <c r="TVK33" s="713"/>
      <c r="TVL33" s="713"/>
      <c r="TVM33" s="713"/>
      <c r="TVN33" s="713"/>
      <c r="TVO33" s="713"/>
      <c r="TVP33" s="713"/>
      <c r="TVQ33" s="713"/>
      <c r="TVR33" s="713"/>
      <c r="TVS33" s="713"/>
      <c r="TVT33" s="713"/>
      <c r="TVU33" s="713"/>
      <c r="TVV33" s="713"/>
      <c r="TVW33" s="713"/>
      <c r="TVX33" s="713"/>
      <c r="TVY33" s="713"/>
      <c r="TVZ33" s="713"/>
      <c r="TWA33" s="713"/>
      <c r="TWB33" s="713"/>
      <c r="TWC33" s="713"/>
      <c r="TWD33" s="713"/>
      <c r="TWE33" s="713"/>
      <c r="TWF33" s="713"/>
      <c r="TWG33" s="713"/>
      <c r="TWH33" s="713"/>
      <c r="TWI33" s="713"/>
      <c r="TWJ33" s="713"/>
      <c r="TWK33" s="713"/>
      <c r="TWL33" s="713"/>
      <c r="TWM33" s="713"/>
      <c r="TWN33" s="713"/>
      <c r="TWO33" s="713"/>
      <c r="TWP33" s="713"/>
      <c r="TWQ33" s="713"/>
      <c r="TWR33" s="713"/>
      <c r="TWS33" s="713"/>
      <c r="TWT33" s="713"/>
      <c r="TWU33" s="713"/>
      <c r="TWV33" s="713"/>
      <c r="TWW33" s="713"/>
      <c r="TWX33" s="713"/>
      <c r="TWY33" s="713"/>
      <c r="TWZ33" s="713"/>
      <c r="TXA33" s="713"/>
      <c r="TXB33" s="713"/>
      <c r="TXC33" s="713"/>
      <c r="TXD33" s="713"/>
      <c r="TXE33" s="713"/>
      <c r="TXF33" s="713"/>
      <c r="TXG33" s="713"/>
      <c r="TXH33" s="713"/>
      <c r="TXI33" s="713"/>
      <c r="TXJ33" s="713"/>
      <c r="TXK33" s="713"/>
      <c r="TXL33" s="713"/>
      <c r="TXM33" s="713"/>
      <c r="TXN33" s="713"/>
      <c r="TXO33" s="713"/>
      <c r="TXP33" s="713"/>
      <c r="TXQ33" s="713"/>
      <c r="TXR33" s="713"/>
      <c r="TXS33" s="713"/>
      <c r="TXT33" s="713"/>
      <c r="TXU33" s="713"/>
      <c r="TXV33" s="713"/>
      <c r="TXW33" s="713"/>
      <c r="TXX33" s="713"/>
      <c r="TXY33" s="713"/>
      <c r="TXZ33" s="713"/>
      <c r="TYA33" s="713"/>
      <c r="TYB33" s="713"/>
      <c r="TYC33" s="713"/>
      <c r="TYD33" s="713"/>
      <c r="TYE33" s="713"/>
      <c r="TYF33" s="713"/>
      <c r="TYG33" s="713"/>
      <c r="TYH33" s="713"/>
      <c r="TYI33" s="713"/>
      <c r="TYJ33" s="713"/>
      <c r="TYK33" s="713"/>
      <c r="TYL33" s="713"/>
      <c r="TYM33" s="713"/>
      <c r="TYN33" s="713"/>
      <c r="TYO33" s="713"/>
      <c r="TYP33" s="713"/>
      <c r="TYQ33" s="713"/>
      <c r="TYR33" s="713"/>
      <c r="TYS33" s="713"/>
      <c r="TYT33" s="713"/>
      <c r="TYU33" s="713"/>
      <c r="TYV33" s="713"/>
      <c r="TYW33" s="713"/>
      <c r="TYX33" s="713"/>
      <c r="TYY33" s="713"/>
      <c r="TYZ33" s="713"/>
      <c r="TZA33" s="713"/>
      <c r="TZB33" s="713"/>
      <c r="TZC33" s="713"/>
      <c r="TZD33" s="713"/>
      <c r="TZE33" s="713"/>
      <c r="TZF33" s="713"/>
      <c r="TZG33" s="713"/>
      <c r="TZH33" s="713"/>
      <c r="TZI33" s="713"/>
      <c r="TZJ33" s="713"/>
      <c r="TZK33" s="713"/>
      <c r="TZL33" s="713"/>
      <c r="TZM33" s="713"/>
      <c r="TZN33" s="713"/>
      <c r="TZO33" s="713"/>
      <c r="TZP33" s="713"/>
      <c r="TZQ33" s="713"/>
      <c r="TZR33" s="713"/>
      <c r="TZS33" s="713"/>
      <c r="TZT33" s="713"/>
      <c r="TZU33" s="713"/>
      <c r="TZV33" s="713"/>
      <c r="TZW33" s="713"/>
      <c r="TZX33" s="713"/>
      <c r="TZY33" s="713"/>
      <c r="TZZ33" s="713"/>
      <c r="UAA33" s="713"/>
      <c r="UAB33" s="713"/>
      <c r="UAC33" s="713"/>
      <c r="UAD33" s="713"/>
      <c r="UAE33" s="713"/>
      <c r="UAF33" s="713"/>
      <c r="UAG33" s="713"/>
      <c r="UAH33" s="713"/>
      <c r="UAI33" s="713"/>
      <c r="UAJ33" s="713"/>
      <c r="UAK33" s="713"/>
      <c r="UAL33" s="713"/>
      <c r="UAM33" s="713"/>
      <c r="UAN33" s="713"/>
      <c r="UAO33" s="713"/>
      <c r="UAP33" s="713"/>
      <c r="UAQ33" s="713"/>
      <c r="UAR33" s="713"/>
      <c r="UAS33" s="713"/>
      <c r="UAT33" s="713"/>
      <c r="UAU33" s="713"/>
      <c r="UAV33" s="713"/>
      <c r="UAW33" s="713"/>
      <c r="UAX33" s="713"/>
      <c r="UAY33" s="713"/>
      <c r="UAZ33" s="713"/>
      <c r="UBA33" s="713"/>
      <c r="UBB33" s="713"/>
      <c r="UBC33" s="713"/>
      <c r="UBD33" s="713"/>
      <c r="UBE33" s="713"/>
      <c r="UBF33" s="713"/>
      <c r="UBG33" s="713"/>
      <c r="UBH33" s="713"/>
      <c r="UBI33" s="713"/>
      <c r="UBJ33" s="713"/>
      <c r="UBK33" s="713"/>
      <c r="UBL33" s="713"/>
      <c r="UBM33" s="713"/>
      <c r="UBN33" s="713"/>
      <c r="UBO33" s="713"/>
      <c r="UBP33" s="713"/>
      <c r="UBQ33" s="713"/>
      <c r="UBR33" s="713"/>
      <c r="UBS33" s="713"/>
      <c r="UBT33" s="713"/>
      <c r="UBU33" s="713"/>
      <c r="UBV33" s="713"/>
      <c r="UBW33" s="713"/>
      <c r="UBX33" s="713"/>
      <c r="UBY33" s="713"/>
      <c r="UBZ33" s="713"/>
      <c r="UCA33" s="713"/>
      <c r="UCB33" s="713"/>
      <c r="UCC33" s="713"/>
      <c r="UCD33" s="713"/>
      <c r="UCE33" s="713"/>
      <c r="UCF33" s="713"/>
      <c r="UCG33" s="713"/>
      <c r="UCH33" s="713"/>
      <c r="UCI33" s="713"/>
      <c r="UCJ33" s="713"/>
      <c r="UCK33" s="713"/>
      <c r="UCL33" s="713"/>
      <c r="UCM33" s="713"/>
      <c r="UCN33" s="713"/>
      <c r="UCO33" s="713"/>
      <c r="UCP33" s="713"/>
      <c r="UCQ33" s="713"/>
      <c r="UCR33" s="713"/>
      <c r="UCS33" s="713"/>
      <c r="UCT33" s="713"/>
      <c r="UCU33" s="713"/>
      <c r="UCV33" s="713"/>
      <c r="UCW33" s="713"/>
      <c r="UCX33" s="713"/>
      <c r="UCY33" s="713"/>
      <c r="UCZ33" s="713"/>
      <c r="UDA33" s="713"/>
      <c r="UDB33" s="713"/>
      <c r="UDC33" s="713"/>
      <c r="UDD33" s="713"/>
      <c r="UDE33" s="713"/>
      <c r="UDF33" s="713"/>
      <c r="UDG33" s="713"/>
      <c r="UDH33" s="713"/>
      <c r="UDI33" s="713"/>
      <c r="UDJ33" s="713"/>
      <c r="UDK33" s="713"/>
      <c r="UDL33" s="713"/>
      <c r="UDM33" s="713"/>
      <c r="UDN33" s="713"/>
      <c r="UDO33" s="713"/>
      <c r="UDP33" s="713"/>
      <c r="UDQ33" s="713"/>
      <c r="UDR33" s="713"/>
      <c r="UDS33" s="713"/>
      <c r="UDT33" s="713"/>
      <c r="UDU33" s="713"/>
      <c r="UDV33" s="713"/>
      <c r="UDW33" s="713"/>
      <c r="UDX33" s="713"/>
      <c r="UDY33" s="713"/>
      <c r="UDZ33" s="713"/>
      <c r="UEA33" s="713"/>
      <c r="UEB33" s="713"/>
      <c r="UEC33" s="713"/>
      <c r="UED33" s="713"/>
      <c r="UEE33" s="713"/>
      <c r="UEF33" s="713"/>
      <c r="UEG33" s="713"/>
      <c r="UEH33" s="713"/>
      <c r="UEI33" s="713"/>
      <c r="UEJ33" s="713"/>
      <c r="UEK33" s="713"/>
      <c r="UEL33" s="713"/>
      <c r="UEM33" s="713"/>
      <c r="UEN33" s="713"/>
      <c r="UEO33" s="713"/>
      <c r="UEP33" s="713"/>
      <c r="UEQ33" s="713"/>
      <c r="UER33" s="713"/>
      <c r="UES33" s="713"/>
      <c r="UET33" s="713"/>
      <c r="UEU33" s="713"/>
      <c r="UEV33" s="713"/>
      <c r="UEW33" s="713"/>
      <c r="UEX33" s="713"/>
      <c r="UEY33" s="713"/>
      <c r="UEZ33" s="713"/>
      <c r="UFA33" s="713"/>
      <c r="UFB33" s="713"/>
      <c r="UFC33" s="713"/>
      <c r="UFD33" s="713"/>
      <c r="UFE33" s="713"/>
      <c r="UFF33" s="713"/>
      <c r="UFG33" s="713"/>
      <c r="UFH33" s="713"/>
      <c r="UFI33" s="713"/>
      <c r="UFJ33" s="713"/>
      <c r="UFK33" s="713"/>
      <c r="UFL33" s="713"/>
      <c r="UFM33" s="713"/>
      <c r="UFN33" s="713"/>
      <c r="UFO33" s="713"/>
      <c r="UFP33" s="713"/>
      <c r="UFQ33" s="713"/>
      <c r="UFR33" s="713"/>
      <c r="UFS33" s="713"/>
      <c r="UFT33" s="713"/>
      <c r="UFU33" s="713"/>
      <c r="UFV33" s="713"/>
      <c r="UFW33" s="713"/>
      <c r="UFX33" s="713"/>
      <c r="UFY33" s="713"/>
      <c r="UFZ33" s="713"/>
      <c r="UGA33" s="713"/>
      <c r="UGB33" s="713"/>
      <c r="UGC33" s="713"/>
      <c r="UGD33" s="713"/>
      <c r="UGE33" s="713"/>
      <c r="UGF33" s="713"/>
      <c r="UGG33" s="713"/>
      <c r="UGH33" s="713"/>
      <c r="UGI33" s="713"/>
      <c r="UGJ33" s="713"/>
      <c r="UGK33" s="713"/>
      <c r="UGL33" s="713"/>
      <c r="UGM33" s="713"/>
      <c r="UGN33" s="713"/>
      <c r="UGO33" s="713"/>
      <c r="UGP33" s="713"/>
      <c r="UGQ33" s="713"/>
      <c r="UGR33" s="713"/>
      <c r="UGS33" s="713"/>
      <c r="UGT33" s="713"/>
      <c r="UGU33" s="713"/>
      <c r="UGV33" s="713"/>
      <c r="UGW33" s="713"/>
      <c r="UGX33" s="713"/>
      <c r="UGY33" s="713"/>
      <c r="UGZ33" s="713"/>
      <c r="UHA33" s="713"/>
      <c r="UHB33" s="713"/>
      <c r="UHC33" s="713"/>
      <c r="UHD33" s="713"/>
      <c r="UHE33" s="713"/>
      <c r="UHF33" s="713"/>
      <c r="UHG33" s="713"/>
      <c r="UHH33" s="713"/>
      <c r="UHI33" s="713"/>
      <c r="UHJ33" s="713"/>
      <c r="UHK33" s="713"/>
      <c r="UHL33" s="713"/>
      <c r="UHM33" s="713"/>
      <c r="UHN33" s="713"/>
      <c r="UHO33" s="713"/>
      <c r="UHP33" s="713"/>
      <c r="UHQ33" s="713"/>
      <c r="UHR33" s="713"/>
      <c r="UHS33" s="713"/>
      <c r="UHT33" s="713"/>
      <c r="UHU33" s="713"/>
      <c r="UHV33" s="713"/>
      <c r="UHW33" s="713"/>
      <c r="UHX33" s="713"/>
      <c r="UHY33" s="713"/>
      <c r="UHZ33" s="713"/>
      <c r="UIA33" s="713"/>
      <c r="UIB33" s="713"/>
      <c r="UIC33" s="713"/>
      <c r="UID33" s="713"/>
      <c r="UIE33" s="713"/>
      <c r="UIF33" s="713"/>
      <c r="UIG33" s="713"/>
      <c r="UIH33" s="713"/>
      <c r="UII33" s="713"/>
      <c r="UIJ33" s="713"/>
      <c r="UIK33" s="713"/>
      <c r="UIL33" s="713"/>
      <c r="UIM33" s="713"/>
      <c r="UIN33" s="713"/>
      <c r="UIO33" s="713"/>
      <c r="UIP33" s="713"/>
      <c r="UIQ33" s="713"/>
      <c r="UIR33" s="713"/>
      <c r="UIS33" s="713"/>
      <c r="UIT33" s="713"/>
      <c r="UIU33" s="713"/>
      <c r="UIV33" s="713"/>
      <c r="UIW33" s="713"/>
      <c r="UIX33" s="713"/>
      <c r="UIY33" s="713"/>
      <c r="UIZ33" s="713"/>
      <c r="UJA33" s="713"/>
      <c r="UJB33" s="713"/>
      <c r="UJC33" s="713"/>
      <c r="UJD33" s="713"/>
      <c r="UJE33" s="713"/>
      <c r="UJF33" s="713"/>
      <c r="UJG33" s="713"/>
      <c r="UJH33" s="713"/>
      <c r="UJI33" s="713"/>
      <c r="UJJ33" s="713"/>
      <c r="UJK33" s="713"/>
      <c r="UJL33" s="713"/>
      <c r="UJM33" s="713"/>
      <c r="UJN33" s="713"/>
      <c r="UJO33" s="713"/>
      <c r="UJP33" s="713"/>
      <c r="UJQ33" s="713"/>
      <c r="UJR33" s="713"/>
      <c r="UJS33" s="713"/>
      <c r="UJT33" s="713"/>
      <c r="UJU33" s="713"/>
      <c r="UJV33" s="713"/>
      <c r="UJW33" s="713"/>
      <c r="UJX33" s="713"/>
      <c r="UJY33" s="713"/>
      <c r="UJZ33" s="713"/>
      <c r="UKA33" s="713"/>
      <c r="UKB33" s="713"/>
      <c r="UKC33" s="713"/>
      <c r="UKD33" s="713"/>
      <c r="UKE33" s="713"/>
      <c r="UKF33" s="713"/>
      <c r="UKG33" s="713"/>
      <c r="UKH33" s="713"/>
      <c r="UKI33" s="713"/>
      <c r="UKJ33" s="713"/>
      <c r="UKK33" s="713"/>
      <c r="UKL33" s="713"/>
      <c r="UKM33" s="713"/>
      <c r="UKN33" s="713"/>
      <c r="UKO33" s="713"/>
      <c r="UKP33" s="713"/>
      <c r="UKQ33" s="713"/>
      <c r="UKR33" s="713"/>
      <c r="UKS33" s="713"/>
      <c r="UKT33" s="713"/>
      <c r="UKU33" s="713"/>
      <c r="UKV33" s="713"/>
      <c r="UKW33" s="713"/>
      <c r="UKX33" s="713"/>
      <c r="UKY33" s="713"/>
      <c r="UKZ33" s="713"/>
      <c r="ULA33" s="713"/>
      <c r="ULB33" s="713"/>
      <c r="ULC33" s="713"/>
      <c r="ULD33" s="713"/>
      <c r="ULE33" s="713"/>
      <c r="ULF33" s="713"/>
      <c r="ULG33" s="713"/>
      <c r="ULH33" s="713"/>
      <c r="ULI33" s="713"/>
      <c r="ULJ33" s="713"/>
      <c r="ULK33" s="713"/>
      <c r="ULL33" s="713"/>
      <c r="ULM33" s="713"/>
      <c r="ULN33" s="713"/>
      <c r="ULO33" s="713"/>
      <c r="ULP33" s="713"/>
      <c r="ULQ33" s="713"/>
      <c r="ULR33" s="713"/>
      <c r="ULS33" s="713"/>
      <c r="ULT33" s="713"/>
      <c r="ULU33" s="713"/>
      <c r="ULV33" s="713"/>
      <c r="ULW33" s="713"/>
      <c r="ULX33" s="713"/>
      <c r="ULY33" s="713"/>
      <c r="ULZ33" s="713"/>
      <c r="UMA33" s="713"/>
      <c r="UMB33" s="713"/>
      <c r="UMC33" s="713"/>
      <c r="UMD33" s="713"/>
      <c r="UME33" s="713"/>
      <c r="UMF33" s="713"/>
      <c r="UMG33" s="713"/>
      <c r="UMH33" s="713"/>
      <c r="UMI33" s="713"/>
      <c r="UMJ33" s="713"/>
      <c r="UMK33" s="713"/>
      <c r="UML33" s="713"/>
      <c r="UMM33" s="713"/>
      <c r="UMN33" s="713"/>
      <c r="UMO33" s="713"/>
      <c r="UMP33" s="713"/>
      <c r="UMQ33" s="713"/>
      <c r="UMR33" s="713"/>
      <c r="UMS33" s="713"/>
      <c r="UMT33" s="713"/>
      <c r="UMU33" s="713"/>
      <c r="UMV33" s="713"/>
      <c r="UMW33" s="713"/>
      <c r="UMX33" s="713"/>
      <c r="UMY33" s="713"/>
      <c r="UMZ33" s="713"/>
      <c r="UNA33" s="713"/>
      <c r="UNB33" s="713"/>
      <c r="UNC33" s="713"/>
      <c r="UND33" s="713"/>
      <c r="UNE33" s="713"/>
      <c r="UNF33" s="713"/>
      <c r="UNG33" s="713"/>
      <c r="UNH33" s="713"/>
      <c r="UNI33" s="713"/>
      <c r="UNJ33" s="713"/>
      <c r="UNK33" s="713"/>
      <c r="UNL33" s="713"/>
      <c r="UNM33" s="713"/>
      <c r="UNN33" s="713"/>
      <c r="UNO33" s="713"/>
      <c r="UNP33" s="713"/>
      <c r="UNQ33" s="713"/>
      <c r="UNR33" s="713"/>
      <c r="UNS33" s="713"/>
      <c r="UNT33" s="713"/>
      <c r="UNU33" s="713"/>
      <c r="UNV33" s="713"/>
      <c r="UNW33" s="713"/>
      <c r="UNX33" s="713"/>
      <c r="UNY33" s="713"/>
      <c r="UNZ33" s="713"/>
      <c r="UOA33" s="713"/>
      <c r="UOB33" s="713"/>
      <c r="UOC33" s="713"/>
      <c r="UOD33" s="713"/>
      <c r="UOE33" s="713"/>
      <c r="UOF33" s="713"/>
      <c r="UOG33" s="713"/>
      <c r="UOH33" s="713"/>
      <c r="UOI33" s="713"/>
      <c r="UOJ33" s="713"/>
      <c r="UOK33" s="713"/>
      <c r="UOL33" s="713"/>
      <c r="UOM33" s="713"/>
      <c r="UON33" s="713"/>
      <c r="UOO33" s="713"/>
      <c r="UOP33" s="713"/>
      <c r="UOQ33" s="713"/>
      <c r="UOR33" s="713"/>
      <c r="UOS33" s="713"/>
      <c r="UOT33" s="713"/>
      <c r="UOU33" s="713"/>
      <c r="UOV33" s="713"/>
      <c r="UOW33" s="713"/>
      <c r="UOX33" s="713"/>
      <c r="UOY33" s="713"/>
      <c r="UOZ33" s="713"/>
      <c r="UPA33" s="713"/>
      <c r="UPB33" s="713"/>
      <c r="UPC33" s="713"/>
      <c r="UPD33" s="713"/>
      <c r="UPE33" s="713"/>
      <c r="UPF33" s="713"/>
      <c r="UPG33" s="713"/>
      <c r="UPH33" s="713"/>
      <c r="UPI33" s="713"/>
      <c r="UPJ33" s="713"/>
      <c r="UPK33" s="713"/>
      <c r="UPL33" s="713"/>
      <c r="UPM33" s="713"/>
      <c r="UPN33" s="713"/>
      <c r="UPO33" s="713"/>
      <c r="UPP33" s="713"/>
      <c r="UPQ33" s="713"/>
      <c r="UPR33" s="713"/>
      <c r="UPS33" s="713"/>
      <c r="UPT33" s="713"/>
      <c r="UPU33" s="713"/>
      <c r="UPV33" s="713"/>
      <c r="UPW33" s="713"/>
      <c r="UPX33" s="713"/>
      <c r="UPY33" s="713"/>
      <c r="UPZ33" s="713"/>
      <c r="UQA33" s="713"/>
      <c r="UQB33" s="713"/>
      <c r="UQC33" s="713"/>
      <c r="UQD33" s="713"/>
      <c r="UQE33" s="713"/>
      <c r="UQF33" s="713"/>
      <c r="UQG33" s="713"/>
      <c r="UQH33" s="713"/>
      <c r="UQI33" s="713"/>
      <c r="UQJ33" s="713"/>
      <c r="UQK33" s="713"/>
      <c r="UQL33" s="713"/>
      <c r="UQM33" s="713"/>
      <c r="UQN33" s="713"/>
      <c r="UQO33" s="713"/>
      <c r="UQP33" s="713"/>
      <c r="UQQ33" s="713"/>
      <c r="UQR33" s="713"/>
      <c r="UQS33" s="713"/>
      <c r="UQT33" s="713"/>
      <c r="UQU33" s="713"/>
      <c r="UQV33" s="713"/>
      <c r="UQW33" s="713"/>
      <c r="UQX33" s="713"/>
      <c r="UQY33" s="713"/>
      <c r="UQZ33" s="713"/>
      <c r="URA33" s="713"/>
      <c r="URB33" s="713"/>
      <c r="URC33" s="713"/>
      <c r="URD33" s="713"/>
      <c r="URE33" s="713"/>
      <c r="URF33" s="713"/>
      <c r="URG33" s="713"/>
      <c r="URH33" s="713"/>
      <c r="URI33" s="713"/>
      <c r="URJ33" s="713"/>
      <c r="URK33" s="713"/>
      <c r="URL33" s="713"/>
      <c r="URM33" s="713"/>
      <c r="URN33" s="713"/>
      <c r="URO33" s="713"/>
      <c r="URP33" s="713"/>
      <c r="URQ33" s="713"/>
      <c r="URR33" s="713"/>
      <c r="URS33" s="713"/>
      <c r="URT33" s="713"/>
      <c r="URU33" s="713"/>
      <c r="URV33" s="713"/>
      <c r="URW33" s="713"/>
      <c r="URX33" s="713"/>
      <c r="URY33" s="713"/>
      <c r="URZ33" s="713"/>
      <c r="USA33" s="713"/>
      <c r="USB33" s="713"/>
      <c r="USC33" s="713"/>
      <c r="USD33" s="713"/>
      <c r="USE33" s="713"/>
      <c r="USF33" s="713"/>
      <c r="USG33" s="713"/>
      <c r="USH33" s="713"/>
      <c r="USI33" s="713"/>
      <c r="USJ33" s="713"/>
      <c r="USK33" s="713"/>
      <c r="USL33" s="713"/>
      <c r="USM33" s="713"/>
      <c r="USN33" s="713"/>
      <c r="USO33" s="713"/>
      <c r="USP33" s="713"/>
      <c r="USQ33" s="713"/>
      <c r="USR33" s="713"/>
      <c r="USS33" s="713"/>
      <c r="UST33" s="713"/>
      <c r="USU33" s="713"/>
      <c r="USV33" s="713"/>
      <c r="USW33" s="713"/>
      <c r="USX33" s="713"/>
      <c r="USY33" s="713"/>
      <c r="USZ33" s="713"/>
      <c r="UTA33" s="713"/>
      <c r="UTB33" s="713"/>
      <c r="UTC33" s="713"/>
      <c r="UTD33" s="713"/>
      <c r="UTE33" s="713"/>
      <c r="UTF33" s="713"/>
      <c r="UTG33" s="713"/>
      <c r="UTH33" s="713"/>
      <c r="UTI33" s="713"/>
      <c r="UTJ33" s="713"/>
      <c r="UTK33" s="713"/>
      <c r="UTL33" s="713"/>
      <c r="UTM33" s="713"/>
      <c r="UTN33" s="713"/>
      <c r="UTO33" s="713"/>
      <c r="UTP33" s="713"/>
      <c r="UTQ33" s="713"/>
      <c r="UTR33" s="713"/>
      <c r="UTS33" s="713"/>
      <c r="UTT33" s="713"/>
      <c r="UTU33" s="713"/>
      <c r="UTV33" s="713"/>
      <c r="UTW33" s="713"/>
      <c r="UTX33" s="713"/>
      <c r="UTY33" s="713"/>
      <c r="UTZ33" s="713"/>
      <c r="UUA33" s="713"/>
      <c r="UUB33" s="713"/>
      <c r="UUC33" s="713"/>
      <c r="UUD33" s="713"/>
      <c r="UUE33" s="713"/>
      <c r="UUF33" s="713"/>
      <c r="UUG33" s="713"/>
      <c r="UUH33" s="713"/>
      <c r="UUI33" s="713"/>
      <c r="UUJ33" s="713"/>
      <c r="UUK33" s="713"/>
      <c r="UUL33" s="713"/>
      <c r="UUM33" s="713"/>
      <c r="UUN33" s="713"/>
      <c r="UUO33" s="713"/>
      <c r="UUP33" s="713"/>
      <c r="UUQ33" s="713"/>
      <c r="UUR33" s="713"/>
      <c r="UUS33" s="713"/>
      <c r="UUT33" s="713"/>
      <c r="UUU33" s="713"/>
      <c r="UUV33" s="713"/>
      <c r="UUW33" s="713"/>
      <c r="UUX33" s="713"/>
      <c r="UUY33" s="713"/>
      <c r="UUZ33" s="713"/>
      <c r="UVA33" s="713"/>
      <c r="UVB33" s="713"/>
      <c r="UVC33" s="713"/>
      <c r="UVD33" s="713"/>
      <c r="UVE33" s="713"/>
      <c r="UVF33" s="713"/>
      <c r="UVG33" s="713"/>
      <c r="UVH33" s="713"/>
      <c r="UVI33" s="713"/>
      <c r="UVJ33" s="713"/>
      <c r="UVK33" s="713"/>
      <c r="UVL33" s="713"/>
      <c r="UVM33" s="713"/>
      <c r="UVN33" s="713"/>
      <c r="UVO33" s="713"/>
      <c r="UVP33" s="713"/>
      <c r="UVQ33" s="713"/>
      <c r="UVR33" s="713"/>
      <c r="UVS33" s="713"/>
      <c r="UVT33" s="713"/>
      <c r="UVU33" s="713"/>
      <c r="UVV33" s="713"/>
      <c r="UVW33" s="713"/>
      <c r="UVX33" s="713"/>
      <c r="UVY33" s="713"/>
      <c r="UVZ33" s="713"/>
      <c r="UWA33" s="713"/>
      <c r="UWB33" s="713"/>
      <c r="UWC33" s="713"/>
      <c r="UWD33" s="713"/>
      <c r="UWE33" s="713"/>
      <c r="UWF33" s="713"/>
      <c r="UWG33" s="713"/>
      <c r="UWH33" s="713"/>
      <c r="UWI33" s="713"/>
      <c r="UWJ33" s="713"/>
      <c r="UWK33" s="713"/>
      <c r="UWL33" s="713"/>
      <c r="UWM33" s="713"/>
      <c r="UWN33" s="713"/>
      <c r="UWO33" s="713"/>
      <c r="UWP33" s="713"/>
      <c r="UWQ33" s="713"/>
      <c r="UWR33" s="713"/>
      <c r="UWS33" s="713"/>
      <c r="UWT33" s="713"/>
      <c r="UWU33" s="713"/>
      <c r="UWV33" s="713"/>
      <c r="UWW33" s="713"/>
      <c r="UWX33" s="713"/>
      <c r="UWY33" s="713"/>
      <c r="UWZ33" s="713"/>
      <c r="UXA33" s="713"/>
      <c r="UXB33" s="713"/>
      <c r="UXC33" s="713"/>
      <c r="UXD33" s="713"/>
      <c r="UXE33" s="713"/>
      <c r="UXF33" s="713"/>
      <c r="UXG33" s="713"/>
      <c r="UXH33" s="713"/>
      <c r="UXI33" s="713"/>
      <c r="UXJ33" s="713"/>
      <c r="UXK33" s="713"/>
      <c r="UXL33" s="713"/>
      <c r="UXM33" s="713"/>
      <c r="UXN33" s="713"/>
      <c r="UXO33" s="713"/>
      <c r="UXP33" s="713"/>
      <c r="UXQ33" s="713"/>
      <c r="UXR33" s="713"/>
      <c r="UXS33" s="713"/>
      <c r="UXT33" s="713"/>
      <c r="UXU33" s="713"/>
      <c r="UXV33" s="713"/>
      <c r="UXW33" s="713"/>
      <c r="UXX33" s="713"/>
      <c r="UXY33" s="713"/>
      <c r="UXZ33" s="713"/>
      <c r="UYA33" s="713"/>
      <c r="UYB33" s="713"/>
      <c r="UYC33" s="713"/>
      <c r="UYD33" s="713"/>
      <c r="UYE33" s="713"/>
      <c r="UYF33" s="713"/>
      <c r="UYG33" s="713"/>
      <c r="UYH33" s="713"/>
      <c r="UYI33" s="713"/>
      <c r="UYJ33" s="713"/>
      <c r="UYK33" s="713"/>
      <c r="UYL33" s="713"/>
      <c r="UYM33" s="713"/>
      <c r="UYN33" s="713"/>
      <c r="UYO33" s="713"/>
      <c r="UYP33" s="713"/>
      <c r="UYQ33" s="713"/>
      <c r="UYR33" s="713"/>
      <c r="UYS33" s="713"/>
      <c r="UYT33" s="713"/>
      <c r="UYU33" s="713"/>
      <c r="UYV33" s="713"/>
      <c r="UYW33" s="713"/>
      <c r="UYX33" s="713"/>
      <c r="UYY33" s="713"/>
      <c r="UYZ33" s="713"/>
      <c r="UZA33" s="713"/>
      <c r="UZB33" s="713"/>
      <c r="UZC33" s="713"/>
      <c r="UZD33" s="713"/>
      <c r="UZE33" s="713"/>
      <c r="UZF33" s="713"/>
      <c r="UZG33" s="713"/>
      <c r="UZH33" s="713"/>
      <c r="UZI33" s="713"/>
      <c r="UZJ33" s="713"/>
      <c r="UZK33" s="713"/>
      <c r="UZL33" s="713"/>
      <c r="UZM33" s="713"/>
      <c r="UZN33" s="713"/>
      <c r="UZO33" s="713"/>
      <c r="UZP33" s="713"/>
      <c r="UZQ33" s="713"/>
      <c r="UZR33" s="713"/>
      <c r="UZS33" s="713"/>
      <c r="UZT33" s="713"/>
      <c r="UZU33" s="713"/>
      <c r="UZV33" s="713"/>
      <c r="UZW33" s="713"/>
      <c r="UZX33" s="713"/>
      <c r="UZY33" s="713"/>
      <c r="UZZ33" s="713"/>
      <c r="VAA33" s="713"/>
      <c r="VAB33" s="713"/>
      <c r="VAC33" s="713"/>
      <c r="VAD33" s="713"/>
      <c r="VAE33" s="713"/>
      <c r="VAF33" s="713"/>
      <c r="VAG33" s="713"/>
      <c r="VAH33" s="713"/>
      <c r="VAI33" s="713"/>
      <c r="VAJ33" s="713"/>
      <c r="VAK33" s="713"/>
      <c r="VAL33" s="713"/>
      <c r="VAM33" s="713"/>
      <c r="VAN33" s="713"/>
      <c r="VAO33" s="713"/>
      <c r="VAP33" s="713"/>
      <c r="VAQ33" s="713"/>
      <c r="VAR33" s="713"/>
      <c r="VAS33" s="713"/>
      <c r="VAT33" s="713"/>
      <c r="VAU33" s="713"/>
      <c r="VAV33" s="713"/>
      <c r="VAW33" s="713"/>
      <c r="VAX33" s="713"/>
      <c r="VAY33" s="713"/>
      <c r="VAZ33" s="713"/>
      <c r="VBA33" s="713"/>
      <c r="VBB33" s="713"/>
      <c r="VBC33" s="713"/>
      <c r="VBD33" s="713"/>
      <c r="VBE33" s="713"/>
      <c r="VBF33" s="713"/>
      <c r="VBG33" s="713"/>
      <c r="VBH33" s="713"/>
      <c r="VBI33" s="713"/>
      <c r="VBJ33" s="713"/>
      <c r="VBK33" s="713"/>
      <c r="VBL33" s="713"/>
      <c r="VBM33" s="713"/>
      <c r="VBN33" s="713"/>
      <c r="VBO33" s="713"/>
      <c r="VBP33" s="713"/>
      <c r="VBQ33" s="713"/>
      <c r="VBR33" s="713"/>
      <c r="VBS33" s="713"/>
      <c r="VBT33" s="713"/>
      <c r="VBU33" s="713"/>
      <c r="VBV33" s="713"/>
      <c r="VBW33" s="713"/>
      <c r="VBX33" s="713"/>
      <c r="VBY33" s="713"/>
      <c r="VBZ33" s="713"/>
      <c r="VCA33" s="713"/>
      <c r="VCB33" s="713"/>
      <c r="VCC33" s="713"/>
      <c r="VCD33" s="713"/>
      <c r="VCE33" s="713"/>
      <c r="VCF33" s="713"/>
      <c r="VCG33" s="713"/>
      <c r="VCH33" s="713"/>
      <c r="VCI33" s="713"/>
      <c r="VCJ33" s="713"/>
      <c r="VCK33" s="713"/>
      <c r="VCL33" s="713"/>
      <c r="VCM33" s="713"/>
      <c r="VCN33" s="713"/>
      <c r="VCO33" s="713"/>
      <c r="VCP33" s="713"/>
      <c r="VCQ33" s="713"/>
      <c r="VCR33" s="713"/>
      <c r="VCS33" s="713"/>
      <c r="VCT33" s="713"/>
      <c r="VCU33" s="713"/>
      <c r="VCV33" s="713"/>
      <c r="VCW33" s="713"/>
      <c r="VCX33" s="713"/>
      <c r="VCY33" s="713"/>
      <c r="VCZ33" s="713"/>
      <c r="VDA33" s="713"/>
      <c r="VDB33" s="713"/>
      <c r="VDC33" s="713"/>
      <c r="VDD33" s="713"/>
      <c r="VDE33" s="713"/>
      <c r="VDF33" s="713"/>
      <c r="VDG33" s="713"/>
      <c r="VDH33" s="713"/>
      <c r="VDI33" s="713"/>
      <c r="VDJ33" s="713"/>
      <c r="VDK33" s="713"/>
      <c r="VDL33" s="713"/>
      <c r="VDM33" s="713"/>
      <c r="VDN33" s="713"/>
      <c r="VDO33" s="713"/>
      <c r="VDP33" s="713"/>
      <c r="VDQ33" s="713"/>
      <c r="VDR33" s="713"/>
      <c r="VDS33" s="713"/>
      <c r="VDT33" s="713"/>
      <c r="VDU33" s="713"/>
      <c r="VDV33" s="713"/>
      <c r="VDW33" s="713"/>
      <c r="VDX33" s="713"/>
      <c r="VDY33" s="713"/>
      <c r="VDZ33" s="713"/>
      <c r="VEA33" s="713"/>
      <c r="VEB33" s="713"/>
      <c r="VEC33" s="713"/>
      <c r="VED33" s="713"/>
      <c r="VEE33" s="713"/>
      <c r="VEF33" s="713"/>
      <c r="VEG33" s="713"/>
      <c r="VEH33" s="713"/>
      <c r="VEI33" s="713"/>
      <c r="VEJ33" s="713"/>
      <c r="VEK33" s="713"/>
      <c r="VEL33" s="713"/>
      <c r="VEM33" s="713"/>
      <c r="VEN33" s="713"/>
      <c r="VEO33" s="713"/>
      <c r="VEP33" s="713"/>
      <c r="VEQ33" s="713"/>
      <c r="VER33" s="713"/>
      <c r="VES33" s="713"/>
      <c r="VET33" s="713"/>
      <c r="VEU33" s="713"/>
      <c r="VEV33" s="713"/>
      <c r="VEW33" s="713"/>
      <c r="VEX33" s="713"/>
      <c r="VEY33" s="713"/>
      <c r="VEZ33" s="713"/>
      <c r="VFA33" s="713"/>
      <c r="VFB33" s="713"/>
      <c r="VFC33" s="713"/>
      <c r="VFD33" s="713"/>
      <c r="VFE33" s="713"/>
      <c r="VFF33" s="713"/>
      <c r="VFG33" s="713"/>
      <c r="VFH33" s="713"/>
      <c r="VFI33" s="713"/>
      <c r="VFJ33" s="713"/>
      <c r="VFK33" s="713"/>
      <c r="VFL33" s="713"/>
      <c r="VFM33" s="713"/>
      <c r="VFN33" s="713"/>
      <c r="VFO33" s="713"/>
      <c r="VFP33" s="713"/>
      <c r="VFQ33" s="713"/>
      <c r="VFR33" s="713"/>
      <c r="VFS33" s="713"/>
      <c r="VFT33" s="713"/>
      <c r="VFU33" s="713"/>
      <c r="VFV33" s="713"/>
      <c r="VFW33" s="713"/>
      <c r="VFX33" s="713"/>
      <c r="VFY33" s="713"/>
      <c r="VFZ33" s="713"/>
      <c r="VGA33" s="713"/>
      <c r="VGB33" s="713"/>
      <c r="VGC33" s="713"/>
      <c r="VGD33" s="713"/>
      <c r="VGE33" s="713"/>
      <c r="VGF33" s="713"/>
      <c r="VGG33" s="713"/>
      <c r="VGH33" s="713"/>
      <c r="VGI33" s="713"/>
      <c r="VGJ33" s="713"/>
      <c r="VGK33" s="713"/>
      <c r="VGL33" s="713"/>
      <c r="VGM33" s="713"/>
      <c r="VGN33" s="713"/>
      <c r="VGO33" s="713"/>
      <c r="VGP33" s="713"/>
      <c r="VGQ33" s="713"/>
      <c r="VGR33" s="713"/>
      <c r="VGS33" s="713"/>
      <c r="VGT33" s="713"/>
      <c r="VGU33" s="713"/>
      <c r="VGV33" s="713"/>
      <c r="VGW33" s="713"/>
      <c r="VGX33" s="713"/>
      <c r="VGY33" s="713"/>
      <c r="VGZ33" s="713"/>
      <c r="VHA33" s="713"/>
      <c r="VHB33" s="713"/>
      <c r="VHC33" s="713"/>
      <c r="VHD33" s="713"/>
      <c r="VHE33" s="713"/>
      <c r="VHF33" s="713"/>
      <c r="VHG33" s="713"/>
      <c r="VHH33" s="713"/>
      <c r="VHI33" s="713"/>
      <c r="VHJ33" s="713"/>
      <c r="VHK33" s="713"/>
      <c r="VHL33" s="713"/>
      <c r="VHM33" s="713"/>
      <c r="VHN33" s="713"/>
      <c r="VHO33" s="713"/>
      <c r="VHP33" s="713"/>
      <c r="VHQ33" s="713"/>
      <c r="VHR33" s="713"/>
      <c r="VHS33" s="713"/>
      <c r="VHT33" s="713"/>
      <c r="VHU33" s="713"/>
      <c r="VHV33" s="713"/>
      <c r="VHW33" s="713"/>
      <c r="VHX33" s="713"/>
      <c r="VHY33" s="713"/>
      <c r="VHZ33" s="713"/>
      <c r="VIA33" s="713"/>
      <c r="VIB33" s="713"/>
      <c r="VIC33" s="713"/>
      <c r="VID33" s="713"/>
      <c r="VIE33" s="713"/>
      <c r="VIF33" s="713"/>
      <c r="VIG33" s="713"/>
      <c r="VIH33" s="713"/>
      <c r="VII33" s="713"/>
      <c r="VIJ33" s="713"/>
      <c r="VIK33" s="713"/>
      <c r="VIL33" s="713"/>
      <c r="VIM33" s="713"/>
      <c r="VIN33" s="713"/>
      <c r="VIO33" s="713"/>
      <c r="VIP33" s="713"/>
      <c r="VIQ33" s="713"/>
      <c r="VIR33" s="713"/>
      <c r="VIS33" s="713"/>
      <c r="VIT33" s="713"/>
      <c r="VIU33" s="713"/>
      <c r="VIV33" s="713"/>
      <c r="VIW33" s="713"/>
      <c r="VIX33" s="713"/>
      <c r="VIY33" s="713"/>
      <c r="VIZ33" s="713"/>
      <c r="VJA33" s="713"/>
      <c r="VJB33" s="713"/>
      <c r="VJC33" s="713"/>
      <c r="VJD33" s="713"/>
      <c r="VJE33" s="713"/>
      <c r="VJF33" s="713"/>
      <c r="VJG33" s="713"/>
      <c r="VJH33" s="713"/>
      <c r="VJI33" s="713"/>
      <c r="VJJ33" s="713"/>
      <c r="VJK33" s="713"/>
      <c r="VJL33" s="713"/>
      <c r="VJM33" s="713"/>
      <c r="VJN33" s="713"/>
      <c r="VJO33" s="713"/>
      <c r="VJP33" s="713"/>
      <c r="VJQ33" s="713"/>
      <c r="VJR33" s="713"/>
      <c r="VJS33" s="713"/>
      <c r="VJT33" s="713"/>
      <c r="VJU33" s="713"/>
      <c r="VJV33" s="713"/>
      <c r="VJW33" s="713"/>
      <c r="VJX33" s="713"/>
      <c r="VJY33" s="713"/>
      <c r="VJZ33" s="713"/>
      <c r="VKA33" s="713"/>
      <c r="VKB33" s="713"/>
      <c r="VKC33" s="713"/>
      <c r="VKD33" s="713"/>
      <c r="VKE33" s="713"/>
      <c r="VKF33" s="713"/>
      <c r="VKG33" s="713"/>
      <c r="VKH33" s="713"/>
      <c r="VKI33" s="713"/>
      <c r="VKJ33" s="713"/>
      <c r="VKK33" s="713"/>
      <c r="VKL33" s="713"/>
      <c r="VKM33" s="713"/>
      <c r="VKN33" s="713"/>
      <c r="VKO33" s="713"/>
      <c r="VKP33" s="713"/>
      <c r="VKQ33" s="713"/>
      <c r="VKR33" s="713"/>
      <c r="VKS33" s="713"/>
      <c r="VKT33" s="713"/>
      <c r="VKU33" s="713"/>
      <c r="VKV33" s="713"/>
      <c r="VKW33" s="713"/>
      <c r="VKX33" s="713"/>
      <c r="VKY33" s="713"/>
      <c r="VKZ33" s="713"/>
      <c r="VLA33" s="713"/>
      <c r="VLB33" s="713"/>
      <c r="VLC33" s="713"/>
      <c r="VLD33" s="713"/>
      <c r="VLE33" s="713"/>
      <c r="VLF33" s="713"/>
      <c r="VLG33" s="713"/>
      <c r="VLH33" s="713"/>
      <c r="VLI33" s="713"/>
      <c r="VLJ33" s="713"/>
      <c r="VLK33" s="713"/>
      <c r="VLL33" s="713"/>
      <c r="VLM33" s="713"/>
      <c r="VLN33" s="713"/>
      <c r="VLO33" s="713"/>
      <c r="VLP33" s="713"/>
      <c r="VLQ33" s="713"/>
      <c r="VLR33" s="713"/>
      <c r="VLS33" s="713"/>
      <c r="VLT33" s="713"/>
      <c r="VLU33" s="713"/>
      <c r="VLV33" s="713"/>
      <c r="VLW33" s="713"/>
      <c r="VLX33" s="713"/>
      <c r="VLY33" s="713"/>
      <c r="VLZ33" s="713"/>
      <c r="VMA33" s="713"/>
      <c r="VMB33" s="713"/>
      <c r="VMC33" s="713"/>
      <c r="VMD33" s="713"/>
      <c r="VME33" s="713"/>
      <c r="VMF33" s="713"/>
      <c r="VMG33" s="713"/>
      <c r="VMH33" s="713"/>
      <c r="VMI33" s="713"/>
      <c r="VMJ33" s="713"/>
      <c r="VMK33" s="713"/>
      <c r="VML33" s="713"/>
      <c r="VMM33" s="713"/>
      <c r="VMN33" s="713"/>
      <c r="VMO33" s="713"/>
      <c r="VMP33" s="713"/>
      <c r="VMQ33" s="713"/>
      <c r="VMR33" s="713"/>
      <c r="VMS33" s="713"/>
      <c r="VMT33" s="713"/>
      <c r="VMU33" s="713"/>
      <c r="VMV33" s="713"/>
      <c r="VMW33" s="713"/>
      <c r="VMX33" s="713"/>
      <c r="VMY33" s="713"/>
      <c r="VMZ33" s="713"/>
      <c r="VNA33" s="713"/>
      <c r="VNB33" s="713"/>
      <c r="VNC33" s="713"/>
      <c r="VND33" s="713"/>
      <c r="VNE33" s="713"/>
      <c r="VNF33" s="713"/>
      <c r="VNG33" s="713"/>
      <c r="VNH33" s="713"/>
      <c r="VNI33" s="713"/>
      <c r="VNJ33" s="713"/>
      <c r="VNK33" s="713"/>
      <c r="VNL33" s="713"/>
      <c r="VNM33" s="713"/>
      <c r="VNN33" s="713"/>
      <c r="VNO33" s="713"/>
      <c r="VNP33" s="713"/>
      <c r="VNQ33" s="713"/>
      <c r="VNR33" s="713"/>
      <c r="VNS33" s="713"/>
      <c r="VNT33" s="713"/>
      <c r="VNU33" s="713"/>
      <c r="VNV33" s="713"/>
      <c r="VNW33" s="713"/>
      <c r="VNX33" s="713"/>
      <c r="VNY33" s="713"/>
      <c r="VNZ33" s="713"/>
      <c r="VOA33" s="713"/>
      <c r="VOB33" s="713"/>
      <c r="VOC33" s="713"/>
      <c r="VOD33" s="713"/>
      <c r="VOE33" s="713"/>
      <c r="VOF33" s="713"/>
      <c r="VOG33" s="713"/>
      <c r="VOH33" s="713"/>
      <c r="VOI33" s="713"/>
      <c r="VOJ33" s="713"/>
      <c r="VOK33" s="713"/>
      <c r="VOL33" s="713"/>
      <c r="VOM33" s="713"/>
      <c r="VON33" s="713"/>
      <c r="VOO33" s="713"/>
      <c r="VOP33" s="713"/>
      <c r="VOQ33" s="713"/>
      <c r="VOR33" s="713"/>
      <c r="VOS33" s="713"/>
      <c r="VOT33" s="713"/>
      <c r="VOU33" s="713"/>
      <c r="VOV33" s="713"/>
      <c r="VOW33" s="713"/>
      <c r="VOX33" s="713"/>
      <c r="VOY33" s="713"/>
      <c r="VOZ33" s="713"/>
      <c r="VPA33" s="713"/>
      <c r="VPB33" s="713"/>
      <c r="VPC33" s="713"/>
      <c r="VPD33" s="713"/>
      <c r="VPE33" s="713"/>
      <c r="VPF33" s="713"/>
      <c r="VPG33" s="713"/>
      <c r="VPH33" s="713"/>
      <c r="VPI33" s="713"/>
      <c r="VPJ33" s="713"/>
      <c r="VPK33" s="713"/>
      <c r="VPL33" s="713"/>
      <c r="VPM33" s="713"/>
      <c r="VPN33" s="713"/>
      <c r="VPO33" s="713"/>
      <c r="VPP33" s="713"/>
      <c r="VPQ33" s="713"/>
      <c r="VPR33" s="713"/>
      <c r="VPS33" s="713"/>
      <c r="VPT33" s="713"/>
      <c r="VPU33" s="713"/>
      <c r="VPV33" s="713"/>
      <c r="VPW33" s="713"/>
      <c r="VPX33" s="713"/>
      <c r="VPY33" s="713"/>
      <c r="VPZ33" s="713"/>
      <c r="VQA33" s="713"/>
      <c r="VQB33" s="713"/>
      <c r="VQC33" s="713"/>
      <c r="VQD33" s="713"/>
      <c r="VQE33" s="713"/>
      <c r="VQF33" s="713"/>
      <c r="VQG33" s="713"/>
      <c r="VQH33" s="713"/>
      <c r="VQI33" s="713"/>
      <c r="VQJ33" s="713"/>
      <c r="VQK33" s="713"/>
      <c r="VQL33" s="713"/>
      <c r="VQM33" s="713"/>
      <c r="VQN33" s="713"/>
      <c r="VQO33" s="713"/>
      <c r="VQP33" s="713"/>
      <c r="VQQ33" s="713"/>
      <c r="VQR33" s="713"/>
      <c r="VQS33" s="713"/>
      <c r="VQT33" s="713"/>
      <c r="VQU33" s="713"/>
      <c r="VQV33" s="713"/>
      <c r="VQW33" s="713"/>
      <c r="VQX33" s="713"/>
      <c r="VQY33" s="713"/>
      <c r="VQZ33" s="713"/>
      <c r="VRA33" s="713"/>
      <c r="VRB33" s="713"/>
      <c r="VRC33" s="713"/>
      <c r="VRD33" s="713"/>
      <c r="VRE33" s="713"/>
      <c r="VRF33" s="713"/>
      <c r="VRG33" s="713"/>
      <c r="VRH33" s="713"/>
      <c r="VRI33" s="713"/>
      <c r="VRJ33" s="713"/>
      <c r="VRK33" s="713"/>
      <c r="VRL33" s="713"/>
      <c r="VRM33" s="713"/>
      <c r="VRN33" s="713"/>
      <c r="VRO33" s="713"/>
      <c r="VRP33" s="713"/>
      <c r="VRQ33" s="713"/>
      <c r="VRR33" s="713"/>
      <c r="VRS33" s="713"/>
      <c r="VRT33" s="713"/>
      <c r="VRU33" s="713"/>
      <c r="VRV33" s="713"/>
      <c r="VRW33" s="713"/>
      <c r="VRX33" s="713"/>
      <c r="VRY33" s="713"/>
      <c r="VRZ33" s="713"/>
      <c r="VSA33" s="713"/>
      <c r="VSB33" s="713"/>
      <c r="VSC33" s="713"/>
      <c r="VSD33" s="713"/>
      <c r="VSE33" s="713"/>
      <c r="VSF33" s="713"/>
      <c r="VSG33" s="713"/>
      <c r="VSH33" s="713"/>
      <c r="VSI33" s="713"/>
      <c r="VSJ33" s="713"/>
      <c r="VSK33" s="713"/>
      <c r="VSL33" s="713"/>
      <c r="VSM33" s="713"/>
      <c r="VSN33" s="713"/>
      <c r="VSO33" s="713"/>
      <c r="VSP33" s="713"/>
      <c r="VSQ33" s="713"/>
      <c r="VSR33" s="713"/>
      <c r="VSS33" s="713"/>
      <c r="VST33" s="713"/>
      <c r="VSU33" s="713"/>
      <c r="VSV33" s="713"/>
      <c r="VSW33" s="713"/>
      <c r="VSX33" s="713"/>
      <c r="VSY33" s="713"/>
      <c r="VSZ33" s="713"/>
      <c r="VTA33" s="713"/>
      <c r="VTB33" s="713"/>
      <c r="VTC33" s="713"/>
      <c r="VTD33" s="713"/>
      <c r="VTE33" s="713"/>
      <c r="VTF33" s="713"/>
      <c r="VTG33" s="713"/>
      <c r="VTH33" s="713"/>
      <c r="VTI33" s="713"/>
      <c r="VTJ33" s="713"/>
      <c r="VTK33" s="713"/>
      <c r="VTL33" s="713"/>
      <c r="VTM33" s="713"/>
      <c r="VTN33" s="713"/>
      <c r="VTO33" s="713"/>
      <c r="VTP33" s="713"/>
      <c r="VTQ33" s="713"/>
      <c r="VTR33" s="713"/>
      <c r="VTS33" s="713"/>
      <c r="VTT33" s="713"/>
      <c r="VTU33" s="713"/>
      <c r="VTV33" s="713"/>
      <c r="VTW33" s="713"/>
      <c r="VTX33" s="713"/>
      <c r="VTY33" s="713"/>
      <c r="VTZ33" s="713"/>
      <c r="VUA33" s="713"/>
      <c r="VUB33" s="713"/>
      <c r="VUC33" s="713"/>
      <c r="VUD33" s="713"/>
      <c r="VUE33" s="713"/>
      <c r="VUF33" s="713"/>
      <c r="VUG33" s="713"/>
      <c r="VUH33" s="713"/>
      <c r="VUI33" s="713"/>
      <c r="VUJ33" s="713"/>
      <c r="VUK33" s="713"/>
      <c r="VUL33" s="713"/>
      <c r="VUM33" s="713"/>
      <c r="VUN33" s="713"/>
      <c r="VUO33" s="713"/>
      <c r="VUP33" s="713"/>
      <c r="VUQ33" s="713"/>
      <c r="VUR33" s="713"/>
      <c r="VUS33" s="713"/>
      <c r="VUT33" s="713"/>
      <c r="VUU33" s="713"/>
      <c r="VUV33" s="713"/>
      <c r="VUW33" s="713"/>
      <c r="VUX33" s="713"/>
      <c r="VUY33" s="713"/>
      <c r="VUZ33" s="713"/>
      <c r="VVA33" s="713"/>
      <c r="VVB33" s="713"/>
      <c r="VVC33" s="713"/>
      <c r="VVD33" s="713"/>
      <c r="VVE33" s="713"/>
      <c r="VVF33" s="713"/>
      <c r="VVG33" s="713"/>
      <c r="VVH33" s="713"/>
      <c r="VVI33" s="713"/>
      <c r="VVJ33" s="713"/>
      <c r="VVK33" s="713"/>
      <c r="VVL33" s="713"/>
      <c r="VVM33" s="713"/>
      <c r="VVN33" s="713"/>
      <c r="VVO33" s="713"/>
      <c r="VVP33" s="713"/>
      <c r="VVQ33" s="713"/>
      <c r="VVR33" s="713"/>
      <c r="VVS33" s="713"/>
      <c r="VVT33" s="713"/>
      <c r="VVU33" s="713"/>
      <c r="VVV33" s="713"/>
      <c r="VVW33" s="713"/>
      <c r="VVX33" s="713"/>
      <c r="VVY33" s="713"/>
      <c r="VVZ33" s="713"/>
      <c r="VWA33" s="713"/>
      <c r="VWB33" s="713"/>
      <c r="VWC33" s="713"/>
      <c r="VWD33" s="713"/>
      <c r="VWE33" s="713"/>
      <c r="VWF33" s="713"/>
      <c r="VWG33" s="713"/>
      <c r="VWH33" s="713"/>
      <c r="VWI33" s="713"/>
      <c r="VWJ33" s="713"/>
      <c r="VWK33" s="713"/>
      <c r="VWL33" s="713"/>
      <c r="VWM33" s="713"/>
      <c r="VWN33" s="713"/>
      <c r="VWO33" s="713"/>
      <c r="VWP33" s="713"/>
      <c r="VWQ33" s="713"/>
      <c r="VWR33" s="713"/>
      <c r="VWS33" s="713"/>
      <c r="VWT33" s="713"/>
      <c r="VWU33" s="713"/>
      <c r="VWV33" s="713"/>
      <c r="VWW33" s="713"/>
      <c r="VWX33" s="713"/>
      <c r="VWY33" s="713"/>
      <c r="VWZ33" s="713"/>
      <c r="VXA33" s="713"/>
      <c r="VXB33" s="713"/>
      <c r="VXC33" s="713"/>
      <c r="VXD33" s="713"/>
      <c r="VXE33" s="713"/>
      <c r="VXF33" s="713"/>
      <c r="VXG33" s="713"/>
      <c r="VXH33" s="713"/>
      <c r="VXI33" s="713"/>
      <c r="VXJ33" s="713"/>
      <c r="VXK33" s="713"/>
      <c r="VXL33" s="713"/>
      <c r="VXM33" s="713"/>
      <c r="VXN33" s="713"/>
      <c r="VXO33" s="713"/>
      <c r="VXP33" s="713"/>
      <c r="VXQ33" s="713"/>
      <c r="VXR33" s="713"/>
      <c r="VXS33" s="713"/>
      <c r="VXT33" s="713"/>
      <c r="VXU33" s="713"/>
      <c r="VXV33" s="713"/>
      <c r="VXW33" s="713"/>
      <c r="VXX33" s="713"/>
      <c r="VXY33" s="713"/>
      <c r="VXZ33" s="713"/>
      <c r="VYA33" s="713"/>
      <c r="VYB33" s="713"/>
      <c r="VYC33" s="713"/>
      <c r="VYD33" s="713"/>
      <c r="VYE33" s="713"/>
      <c r="VYF33" s="713"/>
      <c r="VYG33" s="713"/>
      <c r="VYH33" s="713"/>
      <c r="VYI33" s="713"/>
      <c r="VYJ33" s="713"/>
      <c r="VYK33" s="713"/>
      <c r="VYL33" s="713"/>
      <c r="VYM33" s="713"/>
      <c r="VYN33" s="713"/>
      <c r="VYO33" s="713"/>
      <c r="VYP33" s="713"/>
      <c r="VYQ33" s="713"/>
      <c r="VYR33" s="713"/>
      <c r="VYS33" s="713"/>
      <c r="VYT33" s="713"/>
      <c r="VYU33" s="713"/>
      <c r="VYV33" s="713"/>
      <c r="VYW33" s="713"/>
      <c r="VYX33" s="713"/>
      <c r="VYY33" s="713"/>
      <c r="VYZ33" s="713"/>
      <c r="VZA33" s="713"/>
      <c r="VZB33" s="713"/>
      <c r="VZC33" s="713"/>
      <c r="VZD33" s="713"/>
      <c r="VZE33" s="713"/>
      <c r="VZF33" s="713"/>
      <c r="VZG33" s="713"/>
      <c r="VZH33" s="713"/>
      <c r="VZI33" s="713"/>
      <c r="VZJ33" s="713"/>
      <c r="VZK33" s="713"/>
      <c r="VZL33" s="713"/>
      <c r="VZM33" s="713"/>
      <c r="VZN33" s="713"/>
      <c r="VZO33" s="713"/>
      <c r="VZP33" s="713"/>
      <c r="VZQ33" s="713"/>
      <c r="VZR33" s="713"/>
      <c r="VZS33" s="713"/>
      <c r="VZT33" s="713"/>
      <c r="VZU33" s="713"/>
      <c r="VZV33" s="713"/>
      <c r="VZW33" s="713"/>
      <c r="VZX33" s="713"/>
      <c r="VZY33" s="713"/>
      <c r="VZZ33" s="713"/>
      <c r="WAA33" s="713"/>
      <c r="WAB33" s="713"/>
      <c r="WAC33" s="713"/>
      <c r="WAD33" s="713"/>
      <c r="WAE33" s="713"/>
      <c r="WAF33" s="713"/>
      <c r="WAG33" s="713"/>
      <c r="WAH33" s="713"/>
      <c r="WAI33" s="713"/>
      <c r="WAJ33" s="713"/>
      <c r="WAK33" s="713"/>
      <c r="WAL33" s="713"/>
      <c r="WAM33" s="713"/>
      <c r="WAN33" s="713"/>
      <c r="WAO33" s="713"/>
      <c r="WAP33" s="713"/>
      <c r="WAQ33" s="713"/>
      <c r="WAR33" s="713"/>
      <c r="WAS33" s="713"/>
      <c r="WAT33" s="713"/>
      <c r="WAU33" s="713"/>
      <c r="WAV33" s="713"/>
      <c r="WAW33" s="713"/>
      <c r="WAX33" s="713"/>
      <c r="WAY33" s="713"/>
      <c r="WAZ33" s="713"/>
      <c r="WBA33" s="713"/>
      <c r="WBB33" s="713"/>
      <c r="WBC33" s="713"/>
      <c r="WBD33" s="713"/>
      <c r="WBE33" s="713"/>
      <c r="WBF33" s="713"/>
      <c r="WBG33" s="713"/>
      <c r="WBH33" s="713"/>
      <c r="WBI33" s="713"/>
      <c r="WBJ33" s="713"/>
      <c r="WBK33" s="713"/>
      <c r="WBL33" s="713"/>
      <c r="WBM33" s="713"/>
      <c r="WBN33" s="713"/>
      <c r="WBO33" s="713"/>
      <c r="WBP33" s="713"/>
      <c r="WBQ33" s="713"/>
      <c r="WBR33" s="713"/>
      <c r="WBS33" s="713"/>
      <c r="WBT33" s="713"/>
      <c r="WBU33" s="713"/>
      <c r="WBV33" s="713"/>
      <c r="WBW33" s="713"/>
      <c r="WBX33" s="713"/>
      <c r="WBY33" s="713"/>
      <c r="WBZ33" s="713"/>
      <c r="WCA33" s="713"/>
      <c r="WCB33" s="713"/>
      <c r="WCC33" s="713"/>
      <c r="WCD33" s="713"/>
      <c r="WCE33" s="713"/>
      <c r="WCF33" s="713"/>
      <c r="WCG33" s="713"/>
      <c r="WCH33" s="713"/>
      <c r="WCI33" s="713"/>
      <c r="WCJ33" s="713"/>
      <c r="WCK33" s="713"/>
      <c r="WCL33" s="713"/>
      <c r="WCM33" s="713"/>
      <c r="WCN33" s="713"/>
      <c r="WCO33" s="713"/>
      <c r="WCP33" s="713"/>
      <c r="WCQ33" s="713"/>
      <c r="WCR33" s="713"/>
      <c r="WCS33" s="713"/>
      <c r="WCT33" s="713"/>
      <c r="WCU33" s="713"/>
      <c r="WCV33" s="713"/>
      <c r="WCW33" s="713"/>
      <c r="WCX33" s="713"/>
      <c r="WCY33" s="713"/>
      <c r="WCZ33" s="713"/>
      <c r="WDA33" s="713"/>
      <c r="WDB33" s="713"/>
      <c r="WDC33" s="713"/>
      <c r="WDD33" s="713"/>
      <c r="WDE33" s="713"/>
      <c r="WDF33" s="713"/>
      <c r="WDG33" s="713"/>
      <c r="WDH33" s="713"/>
      <c r="WDI33" s="713"/>
      <c r="WDJ33" s="713"/>
      <c r="WDK33" s="713"/>
      <c r="WDL33" s="713"/>
      <c r="WDM33" s="713"/>
      <c r="WDN33" s="713"/>
      <c r="WDO33" s="713"/>
      <c r="WDP33" s="713"/>
      <c r="WDQ33" s="713"/>
      <c r="WDR33" s="713"/>
      <c r="WDS33" s="713"/>
      <c r="WDT33" s="713"/>
      <c r="WDU33" s="713"/>
      <c r="WDV33" s="713"/>
      <c r="WDW33" s="713"/>
      <c r="WDX33" s="713"/>
      <c r="WDY33" s="713"/>
      <c r="WDZ33" s="713"/>
      <c r="WEA33" s="713"/>
      <c r="WEB33" s="713"/>
      <c r="WEC33" s="713"/>
      <c r="WED33" s="713"/>
      <c r="WEE33" s="713"/>
      <c r="WEF33" s="713"/>
      <c r="WEG33" s="713"/>
      <c r="WEH33" s="713"/>
      <c r="WEI33" s="713"/>
      <c r="WEJ33" s="713"/>
      <c r="WEK33" s="713"/>
      <c r="WEL33" s="713"/>
      <c r="WEM33" s="713"/>
      <c r="WEN33" s="713"/>
      <c r="WEO33" s="713"/>
      <c r="WEP33" s="713"/>
      <c r="WEQ33" s="713"/>
      <c r="WER33" s="713"/>
      <c r="WES33" s="713"/>
      <c r="WET33" s="713"/>
      <c r="WEU33" s="713"/>
      <c r="WEV33" s="713"/>
      <c r="WEW33" s="713"/>
      <c r="WEX33" s="713"/>
      <c r="WEY33" s="713"/>
      <c r="WEZ33" s="713"/>
      <c r="WFA33" s="713"/>
      <c r="WFB33" s="713"/>
      <c r="WFC33" s="713"/>
      <c r="WFD33" s="713"/>
      <c r="WFE33" s="713"/>
      <c r="WFF33" s="713"/>
      <c r="WFG33" s="713"/>
      <c r="WFH33" s="713"/>
      <c r="WFI33" s="713"/>
      <c r="WFJ33" s="713"/>
      <c r="WFK33" s="713"/>
      <c r="WFL33" s="713"/>
      <c r="WFM33" s="713"/>
      <c r="WFN33" s="713"/>
      <c r="WFO33" s="713"/>
      <c r="WFP33" s="713"/>
      <c r="WFQ33" s="713"/>
      <c r="WFR33" s="713"/>
      <c r="WFS33" s="713"/>
      <c r="WFT33" s="713"/>
      <c r="WFU33" s="713"/>
      <c r="WFV33" s="713"/>
      <c r="WFW33" s="713"/>
      <c r="WFX33" s="713"/>
      <c r="WFY33" s="713"/>
      <c r="WFZ33" s="713"/>
      <c r="WGA33" s="713"/>
      <c r="WGB33" s="713"/>
      <c r="WGC33" s="713"/>
      <c r="WGD33" s="713"/>
      <c r="WGE33" s="713"/>
      <c r="WGF33" s="713"/>
      <c r="WGG33" s="713"/>
      <c r="WGH33" s="713"/>
      <c r="WGI33" s="713"/>
      <c r="WGJ33" s="713"/>
      <c r="WGK33" s="713"/>
      <c r="WGL33" s="713"/>
      <c r="WGM33" s="713"/>
      <c r="WGN33" s="713"/>
      <c r="WGO33" s="713"/>
      <c r="WGP33" s="713"/>
      <c r="WGQ33" s="713"/>
      <c r="WGR33" s="713"/>
      <c r="WGS33" s="713"/>
      <c r="WGT33" s="713"/>
      <c r="WGU33" s="713"/>
      <c r="WGV33" s="713"/>
      <c r="WGW33" s="713"/>
      <c r="WGX33" s="713"/>
      <c r="WGY33" s="713"/>
      <c r="WGZ33" s="713"/>
      <c r="WHA33" s="713"/>
      <c r="WHB33" s="713"/>
      <c r="WHC33" s="713"/>
      <c r="WHD33" s="713"/>
      <c r="WHE33" s="713"/>
      <c r="WHF33" s="713"/>
      <c r="WHG33" s="713"/>
      <c r="WHH33" s="713"/>
      <c r="WHI33" s="713"/>
      <c r="WHJ33" s="713"/>
      <c r="WHK33" s="713"/>
      <c r="WHL33" s="713"/>
      <c r="WHM33" s="713"/>
      <c r="WHN33" s="713"/>
      <c r="WHO33" s="713"/>
      <c r="WHP33" s="713"/>
      <c r="WHQ33" s="713"/>
      <c r="WHR33" s="713"/>
      <c r="WHS33" s="713"/>
      <c r="WHT33" s="713"/>
      <c r="WHU33" s="713"/>
      <c r="WHV33" s="713"/>
      <c r="WHW33" s="713"/>
      <c r="WHX33" s="713"/>
      <c r="WHY33" s="713"/>
      <c r="WHZ33" s="713"/>
      <c r="WIA33" s="713"/>
      <c r="WIB33" s="713"/>
      <c r="WIC33" s="713"/>
      <c r="WID33" s="713"/>
      <c r="WIE33" s="713"/>
      <c r="WIF33" s="713"/>
      <c r="WIG33" s="713"/>
      <c r="WIH33" s="713"/>
      <c r="WII33" s="713"/>
      <c r="WIJ33" s="713"/>
      <c r="WIK33" s="713"/>
      <c r="WIL33" s="713"/>
      <c r="WIM33" s="713"/>
      <c r="WIN33" s="713"/>
      <c r="WIO33" s="713"/>
      <c r="WIP33" s="713"/>
      <c r="WIQ33" s="713"/>
      <c r="WIR33" s="713"/>
      <c r="WIS33" s="713"/>
      <c r="WIT33" s="713"/>
      <c r="WIU33" s="713"/>
      <c r="WIV33" s="713"/>
      <c r="WIW33" s="713"/>
      <c r="WIX33" s="713"/>
      <c r="WIY33" s="713"/>
      <c r="WIZ33" s="713"/>
      <c r="WJA33" s="713"/>
      <c r="WJB33" s="713"/>
      <c r="WJC33" s="713"/>
      <c r="WJD33" s="713"/>
      <c r="WJE33" s="713"/>
      <c r="WJF33" s="713"/>
      <c r="WJG33" s="713"/>
      <c r="WJH33" s="713"/>
      <c r="WJI33" s="713"/>
      <c r="WJJ33" s="713"/>
      <c r="WJK33" s="713"/>
      <c r="WJL33" s="713"/>
      <c r="WJM33" s="713"/>
      <c r="WJN33" s="713"/>
      <c r="WJO33" s="713"/>
      <c r="WJP33" s="713"/>
      <c r="WJQ33" s="713"/>
      <c r="WJR33" s="713"/>
      <c r="WJS33" s="713"/>
      <c r="WJT33" s="713"/>
      <c r="WJU33" s="713"/>
      <c r="WJV33" s="713"/>
      <c r="WJW33" s="713"/>
      <c r="WJX33" s="713"/>
      <c r="WJY33" s="713"/>
      <c r="WJZ33" s="713"/>
      <c r="WKA33" s="713"/>
      <c r="WKB33" s="713"/>
      <c r="WKC33" s="713"/>
      <c r="WKD33" s="713"/>
      <c r="WKE33" s="713"/>
      <c r="WKF33" s="713"/>
      <c r="WKG33" s="713"/>
      <c r="WKH33" s="713"/>
      <c r="WKI33" s="713"/>
      <c r="WKJ33" s="713"/>
      <c r="WKK33" s="713"/>
      <c r="WKL33" s="713"/>
      <c r="WKM33" s="713"/>
      <c r="WKN33" s="713"/>
      <c r="WKO33" s="713"/>
      <c r="WKP33" s="713"/>
      <c r="WKQ33" s="713"/>
      <c r="WKR33" s="713"/>
      <c r="WKS33" s="713"/>
      <c r="WKT33" s="713"/>
      <c r="WKU33" s="713"/>
      <c r="WKV33" s="713"/>
      <c r="WKW33" s="713"/>
      <c r="WKX33" s="713"/>
      <c r="WKY33" s="713"/>
      <c r="WKZ33" s="713"/>
      <c r="WLA33" s="713"/>
      <c r="WLB33" s="713"/>
      <c r="WLC33" s="713"/>
      <c r="WLD33" s="713"/>
      <c r="WLE33" s="713"/>
      <c r="WLF33" s="713"/>
      <c r="WLG33" s="713"/>
      <c r="WLH33" s="713"/>
      <c r="WLI33" s="713"/>
      <c r="WLJ33" s="713"/>
      <c r="WLK33" s="713"/>
      <c r="WLL33" s="713"/>
      <c r="WLM33" s="713"/>
      <c r="WLN33" s="713"/>
      <c r="WLO33" s="713"/>
      <c r="WLP33" s="713"/>
      <c r="WLQ33" s="713"/>
      <c r="WLR33" s="713"/>
      <c r="WLS33" s="713"/>
      <c r="WLT33" s="713"/>
      <c r="WLU33" s="713"/>
      <c r="WLV33" s="713"/>
      <c r="WLW33" s="713"/>
      <c r="WLX33" s="713"/>
      <c r="WLY33" s="713"/>
      <c r="WLZ33" s="713"/>
      <c r="WMA33" s="713"/>
      <c r="WMB33" s="713"/>
      <c r="WMC33" s="713"/>
      <c r="WMD33" s="713"/>
      <c r="WME33" s="713"/>
      <c r="WMF33" s="713"/>
      <c r="WMG33" s="713"/>
      <c r="WMH33" s="713"/>
      <c r="WMI33" s="713"/>
      <c r="WMJ33" s="713"/>
      <c r="WMK33" s="713"/>
      <c r="WML33" s="713"/>
      <c r="WMM33" s="713"/>
      <c r="WMN33" s="713"/>
      <c r="WMO33" s="713"/>
      <c r="WMP33" s="713"/>
      <c r="WMQ33" s="713"/>
      <c r="WMR33" s="713"/>
      <c r="WMS33" s="713"/>
      <c r="WMT33" s="713"/>
      <c r="WMU33" s="713"/>
      <c r="WMV33" s="713"/>
      <c r="WMW33" s="713"/>
      <c r="WMX33" s="713"/>
      <c r="WMY33" s="713"/>
      <c r="WMZ33" s="713"/>
      <c r="WNA33" s="713"/>
      <c r="WNB33" s="713"/>
      <c r="WNC33" s="713"/>
      <c r="WND33" s="713"/>
      <c r="WNE33" s="713"/>
      <c r="WNF33" s="713"/>
      <c r="WNG33" s="713"/>
      <c r="WNH33" s="713"/>
      <c r="WNI33" s="713"/>
      <c r="WNJ33" s="713"/>
      <c r="WNK33" s="713"/>
      <c r="WNL33" s="713"/>
      <c r="WNM33" s="713"/>
      <c r="WNN33" s="713"/>
      <c r="WNO33" s="713"/>
      <c r="WNP33" s="713"/>
      <c r="WNQ33" s="713"/>
      <c r="WNR33" s="713"/>
      <c r="WNS33" s="713"/>
      <c r="WNT33" s="713"/>
      <c r="WNU33" s="713"/>
      <c r="WNV33" s="713"/>
      <c r="WNW33" s="713"/>
      <c r="WNX33" s="713"/>
      <c r="WNY33" s="713"/>
      <c r="WNZ33" s="713"/>
      <c r="WOA33" s="713"/>
      <c r="WOB33" s="713"/>
      <c r="WOC33" s="713"/>
      <c r="WOD33" s="713"/>
      <c r="WOE33" s="713"/>
      <c r="WOF33" s="713"/>
      <c r="WOG33" s="713"/>
      <c r="WOH33" s="713"/>
      <c r="WOI33" s="713"/>
      <c r="WOJ33" s="713"/>
      <c r="WOK33" s="713"/>
      <c r="WOL33" s="713"/>
      <c r="WOM33" s="713"/>
      <c r="WON33" s="713"/>
      <c r="WOO33" s="713"/>
      <c r="WOP33" s="713"/>
      <c r="WOQ33" s="713"/>
      <c r="WOR33" s="713"/>
      <c r="WOS33" s="713"/>
      <c r="WOT33" s="713"/>
      <c r="WOU33" s="713"/>
      <c r="WOV33" s="713"/>
      <c r="WOW33" s="713"/>
      <c r="WOX33" s="713"/>
      <c r="WOY33" s="713"/>
      <c r="WOZ33" s="713"/>
      <c r="WPA33" s="713"/>
      <c r="WPB33" s="713"/>
      <c r="WPC33" s="713"/>
      <c r="WPD33" s="713"/>
      <c r="WPE33" s="713"/>
      <c r="WPF33" s="713"/>
      <c r="WPG33" s="713"/>
      <c r="WPH33" s="713"/>
      <c r="WPI33" s="713"/>
      <c r="WPJ33" s="713"/>
      <c r="WPK33" s="713"/>
      <c r="WPL33" s="713"/>
      <c r="WPM33" s="713"/>
      <c r="WPN33" s="713"/>
      <c r="WPO33" s="713"/>
      <c r="WPP33" s="713"/>
      <c r="WPQ33" s="713"/>
      <c r="WPR33" s="713"/>
      <c r="WPS33" s="713"/>
      <c r="WPT33" s="713"/>
      <c r="WPU33" s="713"/>
      <c r="WPV33" s="713"/>
      <c r="WPW33" s="713"/>
      <c r="WPX33" s="713"/>
      <c r="WPY33" s="713"/>
      <c r="WPZ33" s="713"/>
      <c r="WQA33" s="713"/>
      <c r="WQB33" s="713"/>
      <c r="WQC33" s="713"/>
      <c r="WQD33" s="713"/>
      <c r="WQE33" s="713"/>
      <c r="WQF33" s="713"/>
      <c r="WQG33" s="713"/>
      <c r="WQH33" s="713"/>
      <c r="WQI33" s="713"/>
      <c r="WQJ33" s="713"/>
      <c r="WQK33" s="713"/>
      <c r="WQL33" s="713"/>
      <c r="WQM33" s="713"/>
      <c r="WQN33" s="713"/>
      <c r="WQO33" s="713"/>
      <c r="WQP33" s="713"/>
      <c r="WQQ33" s="713"/>
      <c r="WQR33" s="713"/>
      <c r="WQS33" s="713"/>
      <c r="WQT33" s="713"/>
      <c r="WQU33" s="713"/>
      <c r="WQV33" s="713"/>
      <c r="WQW33" s="713"/>
      <c r="WQX33" s="713"/>
      <c r="WQY33" s="713"/>
      <c r="WQZ33" s="713"/>
      <c r="WRA33" s="713"/>
      <c r="WRB33" s="713"/>
      <c r="WRC33" s="713"/>
      <c r="WRD33" s="713"/>
      <c r="WRE33" s="713"/>
      <c r="WRF33" s="713"/>
      <c r="WRG33" s="713"/>
      <c r="WRH33" s="713"/>
      <c r="WRI33" s="713"/>
      <c r="WRJ33" s="713"/>
      <c r="WRK33" s="713"/>
      <c r="WRL33" s="713"/>
      <c r="WRM33" s="713"/>
      <c r="WRN33" s="713"/>
      <c r="WRO33" s="713"/>
      <c r="WRP33" s="713"/>
      <c r="WRQ33" s="713"/>
      <c r="WRR33" s="713"/>
      <c r="WRS33" s="713"/>
      <c r="WRT33" s="713"/>
      <c r="WRU33" s="713"/>
      <c r="WRV33" s="713"/>
      <c r="WRW33" s="713"/>
      <c r="WRX33" s="713"/>
      <c r="WRY33" s="713"/>
      <c r="WRZ33" s="713"/>
      <c r="WSA33" s="713"/>
      <c r="WSB33" s="713"/>
      <c r="WSC33" s="713"/>
      <c r="WSD33" s="713"/>
      <c r="WSE33" s="713"/>
      <c r="WSF33" s="713"/>
      <c r="WSG33" s="713"/>
      <c r="WSH33" s="713"/>
      <c r="WSI33" s="713"/>
      <c r="WSJ33" s="713"/>
      <c r="WSK33" s="713"/>
      <c r="WSL33" s="713"/>
      <c r="WSM33" s="713"/>
      <c r="WSN33" s="713"/>
      <c r="WSO33" s="713"/>
      <c r="WSP33" s="713"/>
      <c r="WSQ33" s="713"/>
      <c r="WSR33" s="713"/>
      <c r="WSS33" s="713"/>
      <c r="WST33" s="713"/>
      <c r="WSU33" s="713"/>
      <c r="WSV33" s="713"/>
      <c r="WSW33" s="713"/>
      <c r="WSX33" s="713"/>
      <c r="WSY33" s="713"/>
      <c r="WSZ33" s="713"/>
      <c r="WTA33" s="713"/>
      <c r="WTB33" s="713"/>
      <c r="WTC33" s="713"/>
      <c r="WTD33" s="713"/>
      <c r="WTE33" s="713"/>
      <c r="WTF33" s="713"/>
      <c r="WTG33" s="713"/>
      <c r="WTH33" s="713"/>
      <c r="WTI33" s="713"/>
      <c r="WTJ33" s="713"/>
      <c r="WTK33" s="713"/>
      <c r="WTL33" s="713"/>
      <c r="WTM33" s="713"/>
      <c r="WTN33" s="713"/>
      <c r="WTO33" s="713"/>
      <c r="WTP33" s="713"/>
      <c r="WTQ33" s="713"/>
      <c r="WTR33" s="713"/>
      <c r="WTS33" s="713"/>
      <c r="WTT33" s="713"/>
      <c r="WTU33" s="713"/>
      <c r="WTV33" s="713"/>
      <c r="WTW33" s="713"/>
      <c r="WTX33" s="713"/>
      <c r="WTY33" s="713"/>
      <c r="WTZ33" s="713"/>
      <c r="WUA33" s="713"/>
      <c r="WUB33" s="713"/>
      <c r="WUC33" s="713"/>
      <c r="WUD33" s="713"/>
      <c r="WUE33" s="713"/>
      <c r="WUF33" s="713"/>
      <c r="WUG33" s="713"/>
      <c r="WUH33" s="713"/>
      <c r="WUI33" s="713"/>
      <c r="WUJ33" s="713"/>
      <c r="WUK33" s="713"/>
      <c r="WUL33" s="713"/>
      <c r="WUM33" s="713"/>
      <c r="WUN33" s="713"/>
      <c r="WUO33" s="713"/>
      <c r="WUP33" s="713"/>
      <c r="WUQ33" s="713"/>
      <c r="WUR33" s="713"/>
      <c r="WUS33" s="713"/>
      <c r="WUT33" s="713"/>
      <c r="WUU33" s="713"/>
      <c r="WUV33" s="713"/>
      <c r="WUW33" s="713"/>
      <c r="WUX33" s="713"/>
      <c r="WUY33" s="713"/>
      <c r="WUZ33" s="713"/>
      <c r="WVA33" s="713"/>
      <c r="WVB33" s="713"/>
      <c r="WVC33" s="713"/>
      <c r="WVD33" s="713"/>
      <c r="WVE33" s="713"/>
      <c r="WVF33" s="713"/>
      <c r="WVG33" s="713"/>
      <c r="WVH33" s="713"/>
      <c r="WVI33" s="713"/>
      <c r="WVJ33" s="713"/>
      <c r="WVK33" s="713"/>
      <c r="WVL33" s="713"/>
      <c r="WVM33" s="713"/>
      <c r="WVN33" s="713"/>
      <c r="WVO33" s="713"/>
      <c r="WVP33" s="713"/>
      <c r="WVQ33" s="713"/>
      <c r="WVR33" s="713"/>
      <c r="WVS33" s="713"/>
      <c r="WVT33" s="713"/>
      <c r="WVU33" s="713"/>
      <c r="WVV33" s="713"/>
      <c r="WVW33" s="713"/>
      <c r="WVX33" s="713"/>
      <c r="WVY33" s="713"/>
      <c r="WVZ33" s="713"/>
      <c r="WWA33" s="713"/>
      <c r="WWB33" s="713"/>
      <c r="WWC33" s="713"/>
      <c r="WWD33" s="713"/>
      <c r="WWE33" s="713"/>
      <c r="WWF33" s="713"/>
      <c r="WWG33" s="713"/>
      <c r="WWH33" s="713"/>
      <c r="WWI33" s="713"/>
      <c r="WWJ33" s="713"/>
      <c r="WWK33" s="713"/>
      <c r="WWL33" s="713"/>
      <c r="WWM33" s="713"/>
      <c r="WWN33" s="713"/>
      <c r="WWO33" s="713"/>
      <c r="WWP33" s="713"/>
      <c r="WWQ33" s="713"/>
      <c r="WWR33" s="713"/>
      <c r="WWS33" s="713"/>
      <c r="WWT33" s="713"/>
      <c r="WWU33" s="713"/>
      <c r="WWV33" s="713"/>
      <c r="WWW33" s="713"/>
      <c r="WWX33" s="713"/>
      <c r="WWY33" s="713"/>
      <c r="WWZ33" s="713"/>
      <c r="WXA33" s="713"/>
      <c r="WXB33" s="713"/>
      <c r="WXC33" s="713"/>
      <c r="WXD33" s="713"/>
      <c r="WXE33" s="713"/>
      <c r="WXF33" s="713"/>
      <c r="WXG33" s="713"/>
      <c r="WXH33" s="713"/>
      <c r="WXI33" s="713"/>
      <c r="WXJ33" s="713"/>
      <c r="WXK33" s="713"/>
      <c r="WXL33" s="713"/>
      <c r="WXM33" s="713"/>
      <c r="WXN33" s="713"/>
      <c r="WXO33" s="713"/>
      <c r="WXP33" s="713"/>
      <c r="WXQ33" s="713"/>
      <c r="WXR33" s="713"/>
      <c r="WXS33" s="713"/>
      <c r="WXT33" s="713"/>
      <c r="WXU33" s="713"/>
      <c r="WXV33" s="713"/>
      <c r="WXW33" s="713"/>
      <c r="WXX33" s="713"/>
      <c r="WXY33" s="713"/>
      <c r="WXZ33" s="713"/>
      <c r="WYA33" s="713"/>
      <c r="WYB33" s="713"/>
      <c r="WYC33" s="713"/>
      <c r="WYD33" s="713"/>
      <c r="WYE33" s="713"/>
      <c r="WYF33" s="713"/>
      <c r="WYG33" s="713"/>
      <c r="WYH33" s="713"/>
      <c r="WYI33" s="713"/>
      <c r="WYJ33" s="713"/>
      <c r="WYK33" s="713"/>
      <c r="WYL33" s="713"/>
      <c r="WYM33" s="713"/>
      <c r="WYN33" s="713"/>
      <c r="WYO33" s="713"/>
      <c r="WYP33" s="713"/>
      <c r="WYQ33" s="713"/>
      <c r="WYR33" s="713"/>
      <c r="WYS33" s="713"/>
      <c r="WYT33" s="713"/>
      <c r="WYU33" s="713"/>
      <c r="WYV33" s="713"/>
      <c r="WYW33" s="713"/>
      <c r="WYX33" s="713"/>
      <c r="WYY33" s="713"/>
      <c r="WYZ33" s="713"/>
      <c r="WZA33" s="713"/>
      <c r="WZB33" s="713"/>
      <c r="WZC33" s="713"/>
      <c r="WZD33" s="713"/>
      <c r="WZE33" s="713"/>
      <c r="WZF33" s="713"/>
      <c r="WZG33" s="713"/>
      <c r="WZH33" s="713"/>
      <c r="WZI33" s="713"/>
      <c r="WZJ33" s="713"/>
      <c r="WZK33" s="713"/>
      <c r="WZL33" s="713"/>
      <c r="WZM33" s="713"/>
      <c r="WZN33" s="713"/>
      <c r="WZO33" s="713"/>
      <c r="WZP33" s="713"/>
      <c r="WZQ33" s="713"/>
      <c r="WZR33" s="713"/>
      <c r="WZS33" s="713"/>
      <c r="WZT33" s="713"/>
      <c r="WZU33" s="713"/>
      <c r="WZV33" s="713"/>
      <c r="WZW33" s="713"/>
      <c r="WZX33" s="713"/>
      <c r="WZY33" s="713"/>
      <c r="WZZ33" s="713"/>
      <c r="XAA33" s="713"/>
      <c r="XAB33" s="713"/>
      <c r="XAC33" s="713"/>
      <c r="XAD33" s="713"/>
      <c r="XAE33" s="713"/>
      <c r="XAF33" s="713"/>
      <c r="XAG33" s="713"/>
      <c r="XAH33" s="713"/>
      <c r="XAI33" s="713"/>
      <c r="XAJ33" s="713"/>
      <c r="XAK33" s="713"/>
      <c r="XAL33" s="713"/>
      <c r="XAM33" s="713"/>
      <c r="XAN33" s="713"/>
      <c r="XAO33" s="713"/>
      <c r="XAP33" s="713"/>
      <c r="XAQ33" s="713"/>
      <c r="XAR33" s="713"/>
      <c r="XAS33" s="713"/>
      <c r="XAT33" s="713"/>
      <c r="XAU33" s="713"/>
      <c r="XAV33" s="713"/>
      <c r="XAW33" s="713"/>
      <c r="XAX33" s="713"/>
      <c r="XAY33" s="713"/>
      <c r="XAZ33" s="713"/>
      <c r="XBA33" s="713"/>
      <c r="XBB33" s="713"/>
      <c r="XBC33" s="713"/>
      <c r="XBD33" s="713"/>
      <c r="XBE33" s="713"/>
      <c r="XBF33" s="713"/>
      <c r="XBG33" s="713"/>
      <c r="XBH33" s="713"/>
      <c r="XBI33" s="713"/>
      <c r="XBJ33" s="713"/>
      <c r="XBK33" s="713"/>
      <c r="XBL33" s="713"/>
      <c r="XBM33" s="713"/>
      <c r="XBN33" s="713"/>
      <c r="XBO33" s="713"/>
      <c r="XBP33" s="713"/>
      <c r="XBQ33" s="713"/>
      <c r="XBR33" s="713"/>
      <c r="XBS33" s="713"/>
      <c r="XBT33" s="713"/>
      <c r="XBU33" s="713"/>
      <c r="XBV33" s="713"/>
      <c r="XBW33" s="713"/>
      <c r="XBX33" s="713"/>
      <c r="XBY33" s="713"/>
      <c r="XBZ33" s="713"/>
      <c r="XCA33" s="713"/>
      <c r="XCB33" s="713"/>
      <c r="XCC33" s="713"/>
      <c r="XCD33" s="713"/>
      <c r="XCE33" s="713"/>
      <c r="XCF33" s="713"/>
      <c r="XCG33" s="713"/>
      <c r="XCH33" s="713"/>
      <c r="XCI33" s="713"/>
      <c r="XCJ33" s="713"/>
      <c r="XCK33" s="713"/>
      <c r="XCL33" s="713"/>
      <c r="XCM33" s="713"/>
      <c r="XCN33" s="713"/>
      <c r="XCO33" s="713"/>
      <c r="XCP33" s="713"/>
      <c r="XCQ33" s="713"/>
      <c r="XCR33" s="713"/>
      <c r="XCS33" s="713"/>
      <c r="XCT33" s="713"/>
      <c r="XCU33" s="713"/>
      <c r="XCV33" s="713"/>
      <c r="XCW33" s="713"/>
      <c r="XCX33" s="713"/>
      <c r="XCY33" s="713"/>
      <c r="XCZ33" s="713"/>
      <c r="XDA33" s="713"/>
      <c r="XDB33" s="713"/>
      <c r="XDC33" s="713"/>
      <c r="XDD33" s="713"/>
      <c r="XDE33" s="713"/>
      <c r="XDF33" s="713"/>
      <c r="XDG33" s="713"/>
      <c r="XDH33" s="713"/>
      <c r="XDI33" s="713"/>
      <c r="XDJ33" s="713"/>
      <c r="XDK33" s="713"/>
      <c r="XDL33" s="713"/>
      <c r="XDM33" s="713"/>
      <c r="XDN33" s="713"/>
      <c r="XDO33" s="713"/>
      <c r="XDP33" s="713"/>
      <c r="XDQ33" s="713"/>
      <c r="XDR33" s="713"/>
      <c r="XDS33" s="713"/>
      <c r="XDT33" s="713"/>
      <c r="XDU33" s="713"/>
      <c r="XDV33" s="713"/>
      <c r="XDW33" s="713"/>
      <c r="XDX33" s="713"/>
      <c r="XDY33" s="713"/>
      <c r="XDZ33" s="713"/>
      <c r="XEA33" s="713"/>
      <c r="XEB33" s="713"/>
      <c r="XEC33" s="713"/>
      <c r="XED33" s="713"/>
      <c r="XEE33" s="713"/>
      <c r="XEF33" s="713"/>
      <c r="XEG33" s="713"/>
    </row>
    <row r="34" spans="1:16361" s="313" customFormat="1" ht="15" customHeight="1" x14ac:dyDescent="0.35">
      <c r="A34" s="313">
        <f>MAX($A$8:A33)+1</f>
        <v>20</v>
      </c>
      <c r="B34" s="713"/>
      <c r="C34" s="713"/>
      <c r="D34" s="1076" t="s">
        <v>494</v>
      </c>
      <c r="E34" s="713" t="s">
        <v>10</v>
      </c>
      <c r="F34" s="312" t="str">
        <f>"["&amp;A34&amp;"]"</f>
        <v>[20]</v>
      </c>
      <c r="G34" s="713" t="s">
        <v>39</v>
      </c>
      <c r="H34" s="1346">
        <f t="shared" ref="H34:AH34" si="4">IFERROR(G34*(1+G$33)^((12-($H$14-1))/12)*(1+H$33)^(($H$14-1)/12),(1+H$33)^(($H$14-MONTH($H$9))/12))</f>
        <v>1.0119433265519673</v>
      </c>
      <c r="I34" s="1346">
        <f t="shared" si="4"/>
        <v>1.0362376882830169</v>
      </c>
      <c r="J34" s="1346">
        <f t="shared" si="4"/>
        <v>1.0611864037381649</v>
      </c>
      <c r="K34" s="1346">
        <f t="shared" si="4"/>
        <v>1.0868622526927949</v>
      </c>
      <c r="L34" s="1346">
        <f t="shared" si="4"/>
        <v>1.1133113151847227</v>
      </c>
      <c r="M34" s="1346">
        <f t="shared" si="4"/>
        <v>1.1405658513157242</v>
      </c>
      <c r="N34" s="1346">
        <f t="shared" si="4"/>
        <v>1.1686513336754294</v>
      </c>
      <c r="O34" s="1346">
        <f t="shared" si="4"/>
        <v>1.1975899341835385</v>
      </c>
      <c r="P34" s="1346">
        <f t="shared" si="4"/>
        <v>1.2274024761441726</v>
      </c>
      <c r="Q34" s="1346">
        <f t="shared" si="4"/>
        <v>1.2581093051358816</v>
      </c>
      <c r="R34" s="1346">
        <f t="shared" si="4"/>
        <v>1.2897310087665546</v>
      </c>
      <c r="S34" s="1346">
        <f t="shared" si="4"/>
        <v>1.3222885834988767</v>
      </c>
      <c r="T34" s="1346">
        <f t="shared" si="4"/>
        <v>1.3558036376656093</v>
      </c>
      <c r="U34" s="1346">
        <f t="shared" si="4"/>
        <v>1.390298365357127</v>
      </c>
      <c r="V34" s="1346">
        <f t="shared" si="4"/>
        <v>1.4257957597396258</v>
      </c>
      <c r="W34" s="1346">
        <f t="shared" si="4"/>
        <v>1.4623195456198828</v>
      </c>
      <c r="X34" s="1346">
        <f t="shared" si="4"/>
        <v>1.4998942451974229</v>
      </c>
      <c r="Y34" s="1346">
        <f t="shared" si="4"/>
        <v>1.5385451021210048</v>
      </c>
      <c r="Z34" s="1346">
        <f t="shared" si="4"/>
        <v>1.5782982370641883</v>
      </c>
      <c r="AA34" s="1346">
        <f t="shared" si="4"/>
        <v>1.6191805794587526</v>
      </c>
      <c r="AB34" s="1346">
        <f t="shared" si="4"/>
        <v>1.6226355744853334</v>
      </c>
      <c r="AC34" s="1346">
        <f t="shared" si="4"/>
        <v>1.6226355744853334</v>
      </c>
      <c r="AD34" s="1346">
        <f t="shared" si="4"/>
        <v>1.6226355744853334</v>
      </c>
      <c r="AE34" s="1346">
        <f t="shared" si="4"/>
        <v>1.6226355744853334</v>
      </c>
      <c r="AF34" s="1346">
        <f t="shared" si="4"/>
        <v>1.6226355744853334</v>
      </c>
      <c r="AG34" s="1346">
        <f t="shared" si="4"/>
        <v>1.6226355744853334</v>
      </c>
      <c r="AH34" s="1346">
        <f t="shared" si="4"/>
        <v>1.6226355744853334</v>
      </c>
      <c r="AI34" s="713"/>
      <c r="AJ34" s="1075"/>
      <c r="AK34" s="1075"/>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13"/>
      <c r="BN34" s="713"/>
      <c r="BO34" s="713"/>
      <c r="BP34" s="713"/>
      <c r="BQ34" s="713"/>
      <c r="BR34" s="713"/>
      <c r="BS34" s="713"/>
      <c r="BT34" s="713"/>
      <c r="BU34" s="713"/>
      <c r="BV34" s="713"/>
      <c r="BW34" s="713"/>
      <c r="BX34" s="713"/>
      <c r="BY34" s="713"/>
      <c r="BZ34" s="713"/>
      <c r="CA34" s="713"/>
      <c r="CB34" s="713"/>
      <c r="CC34" s="713"/>
      <c r="CD34" s="713"/>
      <c r="CE34" s="713"/>
      <c r="CF34" s="713"/>
      <c r="CG34" s="713"/>
      <c r="CH34" s="713"/>
      <c r="CI34" s="713"/>
      <c r="CJ34" s="713"/>
      <c r="CK34" s="713"/>
      <c r="CL34" s="713"/>
      <c r="CM34" s="713"/>
      <c r="CN34" s="713"/>
      <c r="CO34" s="713"/>
      <c r="CP34" s="713"/>
      <c r="CQ34" s="713"/>
      <c r="CR34" s="713"/>
      <c r="CS34" s="713"/>
      <c r="CT34" s="713"/>
      <c r="CU34" s="713"/>
      <c r="CV34" s="713"/>
      <c r="CW34" s="713"/>
      <c r="CX34" s="713"/>
      <c r="CY34" s="713"/>
      <c r="CZ34" s="713"/>
      <c r="DA34" s="713"/>
      <c r="DB34" s="713"/>
      <c r="DC34" s="713"/>
      <c r="DD34" s="713"/>
      <c r="DE34" s="713"/>
      <c r="DF34" s="713"/>
      <c r="DG34" s="713"/>
      <c r="DH34" s="713"/>
      <c r="DI34" s="713"/>
      <c r="DJ34" s="713"/>
      <c r="DK34" s="713"/>
      <c r="DL34" s="713"/>
      <c r="DM34" s="713"/>
      <c r="DN34" s="713"/>
      <c r="DO34" s="713"/>
      <c r="DP34" s="713"/>
      <c r="DQ34" s="713"/>
      <c r="DR34" s="713"/>
      <c r="DS34" s="713"/>
      <c r="DT34" s="713"/>
      <c r="DU34" s="713"/>
      <c r="DV34" s="713"/>
      <c r="DW34" s="713"/>
      <c r="DX34" s="713"/>
      <c r="DY34" s="713"/>
      <c r="DZ34" s="713"/>
      <c r="EA34" s="713"/>
      <c r="EB34" s="713"/>
      <c r="EC34" s="713"/>
      <c r="ED34" s="713"/>
      <c r="EE34" s="713"/>
      <c r="EF34" s="713"/>
      <c r="EG34" s="713"/>
      <c r="EH34" s="713"/>
      <c r="EI34" s="713"/>
      <c r="EJ34" s="713"/>
      <c r="EK34" s="713"/>
      <c r="EL34" s="713"/>
      <c r="EM34" s="713"/>
      <c r="EN34" s="713"/>
      <c r="EO34" s="713"/>
      <c r="EP34" s="713"/>
      <c r="EQ34" s="713"/>
      <c r="ER34" s="713"/>
      <c r="ES34" s="713"/>
      <c r="ET34" s="713"/>
      <c r="EU34" s="713"/>
      <c r="EV34" s="713"/>
      <c r="EW34" s="713"/>
      <c r="EX34" s="713"/>
      <c r="EY34" s="713"/>
      <c r="EZ34" s="713"/>
      <c r="FA34" s="713"/>
      <c r="FB34" s="713"/>
      <c r="FC34" s="713"/>
      <c r="FD34" s="713"/>
      <c r="FE34" s="713"/>
      <c r="FF34" s="713"/>
      <c r="FG34" s="713"/>
      <c r="FH34" s="713"/>
      <c r="FI34" s="713"/>
      <c r="FJ34" s="713"/>
      <c r="FK34" s="713"/>
      <c r="FL34" s="713"/>
      <c r="FM34" s="713"/>
      <c r="FN34" s="713"/>
      <c r="FO34" s="713"/>
      <c r="FP34" s="713"/>
      <c r="FQ34" s="713"/>
      <c r="FR34" s="713"/>
      <c r="FS34" s="713"/>
      <c r="FT34" s="713"/>
      <c r="FU34" s="713"/>
      <c r="FV34" s="713"/>
      <c r="FW34" s="713"/>
      <c r="FX34" s="713"/>
      <c r="FY34" s="713"/>
      <c r="FZ34" s="713"/>
      <c r="GA34" s="713"/>
      <c r="GB34" s="713"/>
      <c r="GC34" s="713"/>
      <c r="GD34" s="713"/>
      <c r="GE34" s="713"/>
      <c r="GF34" s="713"/>
      <c r="GG34" s="713"/>
      <c r="GH34" s="713"/>
      <c r="GI34" s="713"/>
      <c r="GJ34" s="713"/>
      <c r="GK34" s="713"/>
      <c r="GL34" s="713"/>
      <c r="GM34" s="713"/>
      <c r="GN34" s="713"/>
      <c r="GO34" s="713"/>
      <c r="GP34" s="713"/>
      <c r="GQ34" s="713"/>
      <c r="GR34" s="713"/>
      <c r="GS34" s="713"/>
      <c r="GT34" s="713"/>
      <c r="GU34" s="713"/>
      <c r="GV34" s="713"/>
      <c r="GW34" s="713"/>
      <c r="GX34" s="713"/>
      <c r="GY34" s="713"/>
      <c r="GZ34" s="713"/>
      <c r="HA34" s="713"/>
      <c r="HB34" s="713"/>
      <c r="HC34" s="713"/>
      <c r="HD34" s="713"/>
      <c r="HE34" s="713"/>
      <c r="HF34" s="713"/>
      <c r="HG34" s="713"/>
      <c r="HH34" s="713"/>
      <c r="HI34" s="713"/>
      <c r="HJ34" s="713"/>
      <c r="HK34" s="713"/>
      <c r="HL34" s="713"/>
      <c r="HM34" s="713"/>
      <c r="HN34" s="713"/>
      <c r="HO34" s="713"/>
      <c r="HP34" s="713"/>
      <c r="HQ34" s="713"/>
      <c r="HR34" s="713"/>
      <c r="HS34" s="713"/>
      <c r="HT34" s="713"/>
      <c r="HU34" s="713"/>
      <c r="HV34" s="713"/>
      <c r="HW34" s="713"/>
      <c r="HX34" s="713"/>
      <c r="HY34" s="713"/>
      <c r="HZ34" s="713"/>
      <c r="IA34" s="713"/>
      <c r="IB34" s="713"/>
      <c r="IC34" s="713"/>
      <c r="ID34" s="713"/>
      <c r="IE34" s="713"/>
      <c r="IF34" s="713"/>
      <c r="IG34" s="713"/>
      <c r="IH34" s="713"/>
      <c r="II34" s="713"/>
      <c r="IJ34" s="713"/>
      <c r="IK34" s="713"/>
      <c r="IL34" s="713"/>
      <c r="IM34" s="713"/>
      <c r="IN34" s="713"/>
      <c r="IO34" s="713"/>
      <c r="IP34" s="713"/>
      <c r="IQ34" s="713"/>
      <c r="IR34" s="713"/>
      <c r="IS34" s="713"/>
      <c r="IT34" s="713"/>
      <c r="IU34" s="713"/>
      <c r="IV34" s="713"/>
      <c r="IW34" s="713"/>
      <c r="IX34" s="713"/>
      <c r="IY34" s="713"/>
      <c r="IZ34" s="713"/>
      <c r="JA34" s="713"/>
      <c r="JB34" s="713"/>
      <c r="JC34" s="713"/>
      <c r="JD34" s="713"/>
      <c r="JE34" s="713"/>
      <c r="JF34" s="713"/>
      <c r="JG34" s="713"/>
      <c r="JH34" s="713"/>
      <c r="JI34" s="713"/>
      <c r="JJ34" s="713"/>
      <c r="JK34" s="713"/>
      <c r="JL34" s="713"/>
      <c r="JM34" s="713"/>
      <c r="JN34" s="713"/>
      <c r="JO34" s="713"/>
      <c r="JP34" s="713"/>
      <c r="JQ34" s="713"/>
      <c r="JR34" s="713"/>
      <c r="JS34" s="713"/>
      <c r="JT34" s="713"/>
      <c r="JU34" s="713"/>
      <c r="JV34" s="713"/>
      <c r="JW34" s="713"/>
      <c r="JX34" s="713"/>
      <c r="JY34" s="713"/>
      <c r="JZ34" s="713"/>
      <c r="KA34" s="713"/>
      <c r="KB34" s="713"/>
      <c r="KC34" s="713"/>
      <c r="KD34" s="713"/>
      <c r="KE34" s="713"/>
      <c r="KF34" s="713"/>
      <c r="KG34" s="713"/>
      <c r="KH34" s="713"/>
      <c r="KI34" s="713"/>
      <c r="KJ34" s="713"/>
      <c r="KK34" s="713"/>
      <c r="KL34" s="713"/>
      <c r="KM34" s="713"/>
      <c r="KN34" s="713"/>
      <c r="KO34" s="713"/>
      <c r="KP34" s="713"/>
      <c r="KQ34" s="713"/>
      <c r="KR34" s="713"/>
      <c r="KS34" s="713"/>
      <c r="KT34" s="713"/>
      <c r="KU34" s="713"/>
      <c r="KV34" s="713"/>
      <c r="KW34" s="713"/>
      <c r="KX34" s="713"/>
      <c r="KY34" s="713"/>
      <c r="KZ34" s="713"/>
      <c r="LA34" s="713"/>
      <c r="LB34" s="713"/>
      <c r="LC34" s="713"/>
      <c r="LD34" s="713"/>
      <c r="LE34" s="713"/>
      <c r="LF34" s="713"/>
      <c r="LG34" s="713"/>
      <c r="LH34" s="713"/>
      <c r="LI34" s="713"/>
      <c r="LJ34" s="713"/>
      <c r="LK34" s="713"/>
      <c r="LL34" s="713"/>
      <c r="LM34" s="713"/>
      <c r="LN34" s="713"/>
      <c r="LO34" s="713"/>
      <c r="LP34" s="713"/>
      <c r="LQ34" s="713"/>
      <c r="LR34" s="713"/>
      <c r="LS34" s="713"/>
      <c r="LT34" s="713"/>
      <c r="LU34" s="713"/>
      <c r="LV34" s="713"/>
      <c r="LW34" s="713"/>
      <c r="LX34" s="713"/>
      <c r="LY34" s="713"/>
      <c r="LZ34" s="713"/>
      <c r="MA34" s="713"/>
      <c r="MB34" s="713"/>
      <c r="MC34" s="713"/>
      <c r="MD34" s="713"/>
      <c r="ME34" s="713"/>
      <c r="MF34" s="713"/>
      <c r="MG34" s="713"/>
      <c r="MH34" s="713"/>
      <c r="MI34" s="713"/>
      <c r="MJ34" s="713"/>
      <c r="MK34" s="713"/>
      <c r="ML34" s="713"/>
      <c r="MM34" s="713"/>
      <c r="MN34" s="713"/>
      <c r="MO34" s="713"/>
      <c r="MP34" s="713"/>
      <c r="MQ34" s="713"/>
      <c r="MR34" s="713"/>
      <c r="MS34" s="713"/>
      <c r="MT34" s="713"/>
      <c r="MU34" s="713"/>
      <c r="MV34" s="713"/>
      <c r="MW34" s="713"/>
      <c r="MX34" s="713"/>
      <c r="MY34" s="713"/>
      <c r="MZ34" s="713"/>
      <c r="NA34" s="713"/>
      <c r="NB34" s="713"/>
      <c r="NC34" s="713"/>
      <c r="ND34" s="713"/>
      <c r="NE34" s="713"/>
      <c r="NF34" s="713"/>
      <c r="NG34" s="713"/>
      <c r="NH34" s="713"/>
      <c r="NI34" s="713"/>
      <c r="NJ34" s="713"/>
      <c r="NK34" s="713"/>
      <c r="NL34" s="713"/>
      <c r="NM34" s="713"/>
      <c r="NN34" s="713"/>
      <c r="NO34" s="713"/>
      <c r="NP34" s="713"/>
      <c r="NQ34" s="713"/>
      <c r="NR34" s="713"/>
      <c r="NS34" s="713"/>
      <c r="NT34" s="713"/>
      <c r="NU34" s="713"/>
      <c r="NV34" s="713"/>
      <c r="NW34" s="713"/>
      <c r="NX34" s="713"/>
      <c r="NY34" s="713"/>
      <c r="NZ34" s="713"/>
      <c r="OA34" s="713"/>
      <c r="OB34" s="713"/>
      <c r="OC34" s="713"/>
      <c r="OD34" s="713"/>
      <c r="OE34" s="713"/>
      <c r="OF34" s="713"/>
      <c r="OG34" s="713"/>
      <c r="OH34" s="713"/>
      <c r="OI34" s="713"/>
      <c r="OJ34" s="713"/>
      <c r="OK34" s="713"/>
      <c r="OL34" s="713"/>
      <c r="OM34" s="713"/>
      <c r="ON34" s="713"/>
      <c r="OO34" s="713"/>
      <c r="OP34" s="713"/>
      <c r="OQ34" s="713"/>
      <c r="OR34" s="713"/>
      <c r="OS34" s="713"/>
      <c r="OT34" s="713"/>
      <c r="OU34" s="713"/>
      <c r="OV34" s="713"/>
      <c r="OW34" s="713"/>
      <c r="OX34" s="713"/>
      <c r="OY34" s="713"/>
      <c r="OZ34" s="713"/>
      <c r="PA34" s="713"/>
      <c r="PB34" s="713"/>
      <c r="PC34" s="713"/>
      <c r="PD34" s="713"/>
      <c r="PE34" s="713"/>
      <c r="PF34" s="713"/>
      <c r="PG34" s="713"/>
      <c r="PH34" s="713"/>
      <c r="PI34" s="713"/>
      <c r="PJ34" s="713"/>
      <c r="PK34" s="713"/>
      <c r="PL34" s="713"/>
      <c r="PM34" s="713"/>
      <c r="PN34" s="713"/>
      <c r="PO34" s="713"/>
      <c r="PP34" s="713"/>
      <c r="PQ34" s="713"/>
      <c r="PR34" s="713"/>
      <c r="PS34" s="713"/>
      <c r="PT34" s="713"/>
      <c r="PU34" s="713"/>
      <c r="PV34" s="713"/>
      <c r="PW34" s="713"/>
      <c r="PX34" s="713"/>
      <c r="PY34" s="713"/>
      <c r="PZ34" s="713"/>
      <c r="QA34" s="713"/>
      <c r="QB34" s="713"/>
      <c r="QC34" s="713"/>
      <c r="QD34" s="713"/>
      <c r="QE34" s="713"/>
      <c r="QF34" s="713"/>
      <c r="QG34" s="713"/>
      <c r="QH34" s="713"/>
      <c r="QI34" s="713"/>
      <c r="QJ34" s="713"/>
      <c r="QK34" s="713"/>
      <c r="QL34" s="713"/>
      <c r="QM34" s="713"/>
      <c r="QN34" s="713"/>
      <c r="QO34" s="713"/>
      <c r="QP34" s="713"/>
      <c r="QQ34" s="713"/>
      <c r="QR34" s="713"/>
      <c r="QS34" s="713"/>
      <c r="QT34" s="713"/>
      <c r="QU34" s="713"/>
      <c r="QV34" s="713"/>
      <c r="QW34" s="713"/>
      <c r="QX34" s="713"/>
      <c r="QY34" s="713"/>
      <c r="QZ34" s="713"/>
      <c r="RA34" s="713"/>
      <c r="RB34" s="713"/>
      <c r="RC34" s="713"/>
      <c r="RD34" s="713"/>
      <c r="RE34" s="713"/>
      <c r="RF34" s="713"/>
      <c r="RG34" s="713"/>
      <c r="RH34" s="713"/>
      <c r="RI34" s="713"/>
      <c r="RJ34" s="713"/>
      <c r="RK34" s="713"/>
      <c r="RL34" s="713"/>
      <c r="RM34" s="713"/>
      <c r="RN34" s="713"/>
      <c r="RO34" s="713"/>
      <c r="RP34" s="713"/>
      <c r="RQ34" s="713"/>
      <c r="RR34" s="713"/>
      <c r="RS34" s="713"/>
      <c r="RT34" s="713"/>
      <c r="RU34" s="713"/>
      <c r="RV34" s="713"/>
      <c r="RW34" s="713"/>
      <c r="RX34" s="713"/>
      <c r="RY34" s="713"/>
      <c r="RZ34" s="713"/>
      <c r="SA34" s="713"/>
      <c r="SB34" s="713"/>
      <c r="SC34" s="713"/>
      <c r="SD34" s="713"/>
      <c r="SE34" s="713"/>
      <c r="SF34" s="713"/>
      <c r="SG34" s="713"/>
      <c r="SH34" s="713"/>
      <c r="SI34" s="713"/>
      <c r="SJ34" s="713"/>
      <c r="SK34" s="713"/>
      <c r="SL34" s="713"/>
      <c r="SM34" s="713"/>
      <c r="SN34" s="713"/>
      <c r="SO34" s="713"/>
      <c r="SP34" s="713"/>
      <c r="SQ34" s="713"/>
      <c r="SR34" s="713"/>
      <c r="SS34" s="713"/>
      <c r="ST34" s="713"/>
      <c r="SU34" s="713"/>
      <c r="SV34" s="713"/>
      <c r="SW34" s="713"/>
      <c r="SX34" s="713"/>
      <c r="SY34" s="713"/>
      <c r="SZ34" s="713"/>
      <c r="TA34" s="713"/>
      <c r="TB34" s="713"/>
      <c r="TC34" s="713"/>
      <c r="TD34" s="713"/>
      <c r="TE34" s="713"/>
      <c r="TF34" s="713"/>
      <c r="TG34" s="713"/>
      <c r="TH34" s="713"/>
      <c r="TI34" s="713"/>
      <c r="TJ34" s="713"/>
      <c r="TK34" s="713"/>
      <c r="TL34" s="713"/>
      <c r="TM34" s="713"/>
      <c r="TN34" s="713"/>
      <c r="TO34" s="713"/>
      <c r="TP34" s="713"/>
      <c r="TQ34" s="713"/>
      <c r="TR34" s="713"/>
      <c r="TS34" s="713"/>
      <c r="TT34" s="713"/>
      <c r="TU34" s="713"/>
      <c r="TV34" s="713"/>
      <c r="TW34" s="713"/>
      <c r="TX34" s="713"/>
      <c r="TY34" s="713"/>
      <c r="TZ34" s="713"/>
      <c r="UA34" s="713"/>
      <c r="UB34" s="713"/>
      <c r="UC34" s="713"/>
      <c r="UD34" s="713"/>
      <c r="UE34" s="713"/>
      <c r="UF34" s="713"/>
      <c r="UG34" s="713"/>
      <c r="UH34" s="713"/>
      <c r="UI34" s="713"/>
      <c r="UJ34" s="713"/>
      <c r="UK34" s="713"/>
      <c r="UL34" s="713"/>
      <c r="UM34" s="713"/>
      <c r="UN34" s="713"/>
      <c r="UO34" s="713"/>
      <c r="UP34" s="713"/>
      <c r="UQ34" s="713"/>
      <c r="UR34" s="713"/>
      <c r="US34" s="713"/>
      <c r="UT34" s="713"/>
      <c r="UU34" s="713"/>
      <c r="UV34" s="713"/>
      <c r="UW34" s="713"/>
      <c r="UX34" s="713"/>
      <c r="UY34" s="713"/>
      <c r="UZ34" s="713"/>
      <c r="VA34" s="713"/>
      <c r="VB34" s="713"/>
      <c r="VC34" s="713"/>
      <c r="VD34" s="713"/>
      <c r="VE34" s="713"/>
      <c r="VF34" s="713"/>
      <c r="VG34" s="713"/>
      <c r="VH34" s="713"/>
      <c r="VI34" s="713"/>
      <c r="VJ34" s="713"/>
      <c r="VK34" s="713"/>
      <c r="VL34" s="713"/>
      <c r="VM34" s="713"/>
      <c r="VN34" s="713"/>
      <c r="VO34" s="713"/>
      <c r="VP34" s="713"/>
      <c r="VQ34" s="713"/>
      <c r="VR34" s="713"/>
      <c r="VS34" s="713"/>
      <c r="VT34" s="713"/>
      <c r="VU34" s="713"/>
      <c r="VV34" s="713"/>
      <c r="VW34" s="713"/>
      <c r="VX34" s="713"/>
      <c r="VY34" s="713"/>
      <c r="VZ34" s="713"/>
      <c r="WA34" s="713"/>
      <c r="WB34" s="713"/>
      <c r="WC34" s="713"/>
      <c r="WD34" s="713"/>
      <c r="WE34" s="713"/>
      <c r="WF34" s="713"/>
      <c r="WG34" s="713"/>
      <c r="WH34" s="713"/>
      <c r="WI34" s="713"/>
      <c r="WJ34" s="713"/>
      <c r="WK34" s="713"/>
      <c r="WL34" s="713"/>
      <c r="WM34" s="713"/>
      <c r="WN34" s="713"/>
      <c r="WO34" s="713"/>
      <c r="WP34" s="713"/>
      <c r="WQ34" s="713"/>
      <c r="WR34" s="713"/>
      <c r="WS34" s="713"/>
      <c r="WT34" s="713"/>
      <c r="WU34" s="713"/>
      <c r="WV34" s="713"/>
      <c r="WW34" s="713"/>
      <c r="WX34" s="713"/>
      <c r="WY34" s="713"/>
      <c r="WZ34" s="713"/>
      <c r="XA34" s="713"/>
      <c r="XB34" s="713"/>
      <c r="XC34" s="713"/>
      <c r="XD34" s="713"/>
      <c r="XE34" s="713"/>
      <c r="XF34" s="713"/>
      <c r="XG34" s="713"/>
      <c r="XH34" s="713"/>
      <c r="XI34" s="713"/>
      <c r="XJ34" s="713"/>
      <c r="XK34" s="713"/>
      <c r="XL34" s="713"/>
      <c r="XM34" s="713"/>
      <c r="XN34" s="713"/>
      <c r="XO34" s="713"/>
      <c r="XP34" s="713"/>
      <c r="XQ34" s="713"/>
      <c r="XR34" s="713"/>
      <c r="XS34" s="713"/>
      <c r="XT34" s="713"/>
      <c r="XU34" s="713"/>
      <c r="XV34" s="713"/>
      <c r="XW34" s="713"/>
      <c r="XX34" s="713"/>
      <c r="XY34" s="713"/>
      <c r="XZ34" s="713"/>
      <c r="YA34" s="713"/>
      <c r="YB34" s="713"/>
      <c r="YC34" s="713"/>
      <c r="YD34" s="713"/>
      <c r="YE34" s="713"/>
      <c r="YF34" s="713"/>
      <c r="YG34" s="713"/>
      <c r="YH34" s="713"/>
      <c r="YI34" s="713"/>
      <c r="YJ34" s="713"/>
      <c r="YK34" s="713"/>
      <c r="YL34" s="713"/>
      <c r="YM34" s="713"/>
      <c r="YN34" s="713"/>
      <c r="YO34" s="713"/>
      <c r="YP34" s="713"/>
      <c r="YQ34" s="713"/>
      <c r="YR34" s="713"/>
      <c r="YS34" s="713"/>
      <c r="YT34" s="713"/>
      <c r="YU34" s="713"/>
      <c r="YV34" s="713"/>
      <c r="YW34" s="713"/>
      <c r="YX34" s="713"/>
      <c r="YY34" s="713"/>
      <c r="YZ34" s="713"/>
      <c r="ZA34" s="713"/>
      <c r="ZB34" s="713"/>
      <c r="ZC34" s="713"/>
      <c r="ZD34" s="713"/>
      <c r="ZE34" s="713"/>
      <c r="ZF34" s="713"/>
      <c r="ZG34" s="713"/>
      <c r="ZH34" s="713"/>
      <c r="ZI34" s="713"/>
      <c r="ZJ34" s="713"/>
      <c r="ZK34" s="713"/>
      <c r="ZL34" s="713"/>
      <c r="ZM34" s="713"/>
      <c r="ZN34" s="713"/>
      <c r="ZO34" s="713"/>
      <c r="ZP34" s="713"/>
      <c r="ZQ34" s="713"/>
      <c r="ZR34" s="713"/>
      <c r="ZS34" s="713"/>
      <c r="ZT34" s="713"/>
      <c r="ZU34" s="713"/>
      <c r="ZV34" s="713"/>
      <c r="ZW34" s="713"/>
      <c r="ZX34" s="713"/>
      <c r="ZY34" s="713"/>
      <c r="ZZ34" s="713"/>
      <c r="AAA34" s="713"/>
      <c r="AAB34" s="713"/>
      <c r="AAC34" s="713"/>
      <c r="AAD34" s="713"/>
      <c r="AAE34" s="713"/>
      <c r="AAF34" s="713"/>
      <c r="AAG34" s="713"/>
      <c r="AAH34" s="713"/>
      <c r="AAI34" s="713"/>
      <c r="AAJ34" s="713"/>
      <c r="AAK34" s="713"/>
      <c r="AAL34" s="713"/>
      <c r="AAM34" s="713"/>
      <c r="AAN34" s="713"/>
      <c r="AAO34" s="713"/>
      <c r="AAP34" s="713"/>
      <c r="AAQ34" s="713"/>
      <c r="AAR34" s="713"/>
      <c r="AAS34" s="713"/>
      <c r="AAT34" s="713"/>
      <c r="AAU34" s="713"/>
      <c r="AAV34" s="713"/>
      <c r="AAW34" s="713"/>
      <c r="AAX34" s="713"/>
      <c r="AAY34" s="713"/>
      <c r="AAZ34" s="713"/>
      <c r="ABA34" s="713"/>
      <c r="ABB34" s="713"/>
      <c r="ABC34" s="713"/>
      <c r="ABD34" s="713"/>
      <c r="ABE34" s="713"/>
      <c r="ABF34" s="713"/>
      <c r="ABG34" s="713"/>
      <c r="ABH34" s="713"/>
      <c r="ABI34" s="713"/>
      <c r="ABJ34" s="713"/>
      <c r="ABK34" s="713"/>
      <c r="ABL34" s="713"/>
      <c r="ABM34" s="713"/>
      <c r="ABN34" s="713"/>
      <c r="ABO34" s="713"/>
      <c r="ABP34" s="713"/>
      <c r="ABQ34" s="713"/>
      <c r="ABR34" s="713"/>
      <c r="ABS34" s="713"/>
      <c r="ABT34" s="713"/>
      <c r="ABU34" s="713"/>
      <c r="ABV34" s="713"/>
      <c r="ABW34" s="713"/>
      <c r="ABX34" s="713"/>
      <c r="ABY34" s="713"/>
      <c r="ABZ34" s="713"/>
      <c r="ACA34" s="713"/>
      <c r="ACB34" s="713"/>
      <c r="ACC34" s="713"/>
      <c r="ACD34" s="713"/>
      <c r="ACE34" s="713"/>
      <c r="ACF34" s="713"/>
      <c r="ACG34" s="713"/>
      <c r="ACH34" s="713"/>
      <c r="ACI34" s="713"/>
      <c r="ACJ34" s="713"/>
      <c r="ACK34" s="713"/>
      <c r="ACL34" s="713"/>
      <c r="ACM34" s="713"/>
      <c r="ACN34" s="713"/>
      <c r="ACO34" s="713"/>
      <c r="ACP34" s="713"/>
      <c r="ACQ34" s="713"/>
      <c r="ACR34" s="713"/>
      <c r="ACS34" s="713"/>
      <c r="ACT34" s="713"/>
      <c r="ACU34" s="713"/>
      <c r="ACV34" s="713"/>
      <c r="ACW34" s="713"/>
      <c r="ACX34" s="713"/>
      <c r="ACY34" s="713"/>
      <c r="ACZ34" s="713"/>
      <c r="ADA34" s="713"/>
      <c r="ADB34" s="713"/>
      <c r="ADC34" s="713"/>
      <c r="ADD34" s="713"/>
      <c r="ADE34" s="713"/>
      <c r="ADF34" s="713"/>
      <c r="ADG34" s="713"/>
      <c r="ADH34" s="713"/>
      <c r="ADI34" s="713"/>
      <c r="ADJ34" s="713"/>
      <c r="ADK34" s="713"/>
      <c r="ADL34" s="713"/>
      <c r="ADM34" s="713"/>
      <c r="ADN34" s="713"/>
      <c r="ADO34" s="713"/>
      <c r="ADP34" s="713"/>
      <c r="ADQ34" s="713"/>
      <c r="ADR34" s="713"/>
      <c r="ADS34" s="713"/>
      <c r="ADT34" s="713"/>
      <c r="ADU34" s="713"/>
      <c r="ADV34" s="713"/>
      <c r="ADW34" s="713"/>
      <c r="ADX34" s="713"/>
      <c r="ADY34" s="713"/>
      <c r="ADZ34" s="713"/>
      <c r="AEA34" s="713"/>
      <c r="AEB34" s="713"/>
      <c r="AEC34" s="713"/>
      <c r="AED34" s="713"/>
      <c r="AEE34" s="713"/>
      <c r="AEF34" s="713"/>
      <c r="AEG34" s="713"/>
      <c r="AEH34" s="713"/>
      <c r="AEI34" s="713"/>
      <c r="AEJ34" s="713"/>
      <c r="AEK34" s="713"/>
      <c r="AEL34" s="713"/>
      <c r="AEM34" s="713"/>
      <c r="AEN34" s="713"/>
      <c r="AEO34" s="713"/>
      <c r="AEP34" s="713"/>
      <c r="AEQ34" s="713"/>
      <c r="AER34" s="713"/>
      <c r="AES34" s="713"/>
      <c r="AET34" s="713"/>
      <c r="AEU34" s="713"/>
      <c r="AEV34" s="713"/>
      <c r="AEW34" s="713"/>
      <c r="AEX34" s="713"/>
      <c r="AEY34" s="713"/>
      <c r="AEZ34" s="713"/>
      <c r="AFA34" s="713"/>
      <c r="AFB34" s="713"/>
      <c r="AFC34" s="713"/>
      <c r="AFD34" s="713"/>
      <c r="AFE34" s="713"/>
      <c r="AFF34" s="713"/>
      <c r="AFG34" s="713"/>
      <c r="AFH34" s="713"/>
      <c r="AFI34" s="713"/>
      <c r="AFJ34" s="713"/>
      <c r="AFK34" s="713"/>
      <c r="AFL34" s="713"/>
      <c r="AFM34" s="713"/>
      <c r="AFN34" s="713"/>
      <c r="AFO34" s="713"/>
      <c r="AFP34" s="713"/>
      <c r="AFQ34" s="713"/>
      <c r="AFR34" s="713"/>
      <c r="AFS34" s="713"/>
      <c r="AFT34" s="713"/>
      <c r="AFU34" s="713"/>
      <c r="AFV34" s="713"/>
      <c r="AFW34" s="713"/>
      <c r="AFX34" s="713"/>
      <c r="AFY34" s="713"/>
      <c r="AFZ34" s="713"/>
      <c r="AGA34" s="713"/>
      <c r="AGB34" s="713"/>
      <c r="AGC34" s="713"/>
      <c r="AGD34" s="713"/>
      <c r="AGE34" s="713"/>
      <c r="AGF34" s="713"/>
      <c r="AGG34" s="713"/>
      <c r="AGH34" s="713"/>
      <c r="AGI34" s="713"/>
      <c r="AGJ34" s="713"/>
      <c r="AGK34" s="713"/>
      <c r="AGL34" s="713"/>
      <c r="AGM34" s="713"/>
      <c r="AGN34" s="713"/>
      <c r="AGO34" s="713"/>
      <c r="AGP34" s="713"/>
      <c r="AGQ34" s="713"/>
      <c r="AGR34" s="713"/>
      <c r="AGS34" s="713"/>
      <c r="AGT34" s="713"/>
      <c r="AGU34" s="713"/>
      <c r="AGV34" s="713"/>
      <c r="AGW34" s="713"/>
      <c r="AGX34" s="713"/>
      <c r="AGY34" s="713"/>
      <c r="AGZ34" s="713"/>
      <c r="AHA34" s="713"/>
      <c r="AHB34" s="713"/>
      <c r="AHC34" s="713"/>
      <c r="AHD34" s="713"/>
      <c r="AHE34" s="713"/>
      <c r="AHF34" s="713"/>
      <c r="AHG34" s="713"/>
      <c r="AHH34" s="713"/>
      <c r="AHI34" s="713"/>
      <c r="AHJ34" s="713"/>
      <c r="AHK34" s="713"/>
      <c r="AHL34" s="713"/>
      <c r="AHM34" s="713"/>
      <c r="AHN34" s="713"/>
      <c r="AHO34" s="713"/>
      <c r="AHP34" s="713"/>
      <c r="AHQ34" s="713"/>
      <c r="AHR34" s="713"/>
      <c r="AHS34" s="713"/>
      <c r="AHT34" s="713"/>
      <c r="AHU34" s="713"/>
      <c r="AHV34" s="713"/>
      <c r="AHW34" s="713"/>
      <c r="AHX34" s="713"/>
      <c r="AHY34" s="713"/>
      <c r="AHZ34" s="713"/>
      <c r="AIA34" s="713"/>
      <c r="AIB34" s="713"/>
      <c r="AIC34" s="713"/>
      <c r="AID34" s="713"/>
      <c r="AIE34" s="713"/>
      <c r="AIF34" s="713"/>
      <c r="AIG34" s="713"/>
      <c r="AIH34" s="713"/>
      <c r="AII34" s="713"/>
      <c r="AIJ34" s="713"/>
      <c r="AIK34" s="713"/>
      <c r="AIL34" s="713"/>
      <c r="AIM34" s="713"/>
      <c r="AIN34" s="713"/>
      <c r="AIO34" s="713"/>
      <c r="AIP34" s="713"/>
      <c r="AIQ34" s="713"/>
      <c r="AIR34" s="713"/>
      <c r="AIS34" s="713"/>
      <c r="AIT34" s="713"/>
      <c r="AIU34" s="713"/>
      <c r="AIV34" s="713"/>
      <c r="AIW34" s="713"/>
      <c r="AIX34" s="713"/>
      <c r="AIY34" s="713"/>
      <c r="AIZ34" s="713"/>
      <c r="AJA34" s="713"/>
      <c r="AJB34" s="713"/>
      <c r="AJC34" s="713"/>
      <c r="AJD34" s="713"/>
      <c r="AJE34" s="713"/>
      <c r="AJF34" s="713"/>
      <c r="AJG34" s="713"/>
      <c r="AJH34" s="713"/>
      <c r="AJI34" s="713"/>
      <c r="AJJ34" s="713"/>
      <c r="AJK34" s="713"/>
      <c r="AJL34" s="713"/>
      <c r="AJM34" s="713"/>
      <c r="AJN34" s="713"/>
      <c r="AJO34" s="713"/>
      <c r="AJP34" s="713"/>
      <c r="AJQ34" s="713"/>
      <c r="AJR34" s="713"/>
      <c r="AJS34" s="713"/>
      <c r="AJT34" s="713"/>
      <c r="AJU34" s="713"/>
      <c r="AJV34" s="713"/>
      <c r="AJW34" s="713"/>
      <c r="AJX34" s="713"/>
      <c r="AJY34" s="713"/>
      <c r="AJZ34" s="713"/>
      <c r="AKA34" s="713"/>
      <c r="AKB34" s="713"/>
      <c r="AKC34" s="713"/>
      <c r="AKD34" s="713"/>
      <c r="AKE34" s="713"/>
      <c r="AKF34" s="713"/>
      <c r="AKG34" s="713"/>
      <c r="AKH34" s="713"/>
      <c r="AKI34" s="713"/>
      <c r="AKJ34" s="713"/>
      <c r="AKK34" s="713"/>
      <c r="AKL34" s="713"/>
      <c r="AKM34" s="713"/>
      <c r="AKN34" s="713"/>
      <c r="AKO34" s="713"/>
      <c r="AKP34" s="713"/>
      <c r="AKQ34" s="713"/>
      <c r="AKR34" s="713"/>
      <c r="AKS34" s="713"/>
      <c r="AKT34" s="713"/>
      <c r="AKU34" s="713"/>
      <c r="AKV34" s="713"/>
      <c r="AKW34" s="713"/>
      <c r="AKX34" s="713"/>
      <c r="AKY34" s="713"/>
      <c r="AKZ34" s="713"/>
      <c r="ALA34" s="713"/>
      <c r="ALB34" s="713"/>
      <c r="ALC34" s="713"/>
      <c r="ALD34" s="713"/>
      <c r="ALE34" s="713"/>
      <c r="ALF34" s="713"/>
      <c r="ALG34" s="713"/>
      <c r="ALH34" s="713"/>
      <c r="ALI34" s="713"/>
      <c r="ALJ34" s="713"/>
      <c r="ALK34" s="713"/>
      <c r="ALL34" s="713"/>
      <c r="ALM34" s="713"/>
      <c r="ALN34" s="713"/>
      <c r="ALO34" s="713"/>
      <c r="ALP34" s="713"/>
      <c r="ALQ34" s="713"/>
      <c r="ALR34" s="713"/>
      <c r="ALS34" s="713"/>
      <c r="ALT34" s="713"/>
      <c r="ALU34" s="713"/>
      <c r="ALV34" s="713"/>
      <c r="ALW34" s="713"/>
      <c r="ALX34" s="713"/>
      <c r="ALY34" s="713"/>
      <c r="ALZ34" s="713"/>
      <c r="AMA34" s="713"/>
      <c r="AMB34" s="713"/>
      <c r="AMC34" s="713"/>
      <c r="AMD34" s="713"/>
      <c r="AME34" s="713"/>
      <c r="AMF34" s="713"/>
      <c r="AMG34" s="713"/>
      <c r="AMH34" s="713"/>
      <c r="AMI34" s="713"/>
      <c r="AMJ34" s="713"/>
      <c r="AMK34" s="713"/>
      <c r="AML34" s="713"/>
      <c r="AMM34" s="713"/>
      <c r="AMN34" s="713"/>
      <c r="AMO34" s="713"/>
      <c r="AMP34" s="713"/>
      <c r="AMQ34" s="713"/>
      <c r="AMR34" s="713"/>
      <c r="AMS34" s="713"/>
      <c r="AMT34" s="713"/>
      <c r="AMU34" s="713"/>
      <c r="AMV34" s="713"/>
      <c r="AMW34" s="713"/>
      <c r="AMX34" s="713"/>
      <c r="AMY34" s="713"/>
      <c r="AMZ34" s="713"/>
      <c r="ANA34" s="713"/>
      <c r="ANB34" s="713"/>
      <c r="ANC34" s="713"/>
      <c r="AND34" s="713"/>
      <c r="ANE34" s="713"/>
      <c r="ANF34" s="713"/>
      <c r="ANG34" s="713"/>
      <c r="ANH34" s="713"/>
      <c r="ANI34" s="713"/>
      <c r="ANJ34" s="713"/>
      <c r="ANK34" s="713"/>
      <c r="ANL34" s="713"/>
      <c r="ANM34" s="713"/>
      <c r="ANN34" s="713"/>
      <c r="ANO34" s="713"/>
      <c r="ANP34" s="713"/>
      <c r="ANQ34" s="713"/>
      <c r="ANR34" s="713"/>
      <c r="ANS34" s="713"/>
      <c r="ANT34" s="713"/>
      <c r="ANU34" s="713"/>
      <c r="ANV34" s="713"/>
      <c r="ANW34" s="713"/>
      <c r="ANX34" s="713"/>
      <c r="ANY34" s="713"/>
      <c r="ANZ34" s="713"/>
      <c r="AOA34" s="713"/>
      <c r="AOB34" s="713"/>
      <c r="AOC34" s="713"/>
      <c r="AOD34" s="713"/>
      <c r="AOE34" s="713"/>
      <c r="AOF34" s="713"/>
      <c r="AOG34" s="713"/>
      <c r="AOH34" s="713"/>
      <c r="AOI34" s="713"/>
      <c r="AOJ34" s="713"/>
      <c r="AOK34" s="713"/>
      <c r="AOL34" s="713"/>
      <c r="AOM34" s="713"/>
      <c r="AON34" s="713"/>
      <c r="AOO34" s="713"/>
      <c r="AOP34" s="713"/>
      <c r="AOQ34" s="713"/>
      <c r="AOR34" s="713"/>
      <c r="AOS34" s="713"/>
      <c r="AOT34" s="713"/>
      <c r="AOU34" s="713"/>
      <c r="AOV34" s="713"/>
      <c r="AOW34" s="713"/>
      <c r="AOX34" s="713"/>
      <c r="AOY34" s="713"/>
      <c r="AOZ34" s="713"/>
      <c r="APA34" s="713"/>
      <c r="APB34" s="713"/>
      <c r="APC34" s="713"/>
      <c r="APD34" s="713"/>
      <c r="APE34" s="713"/>
      <c r="APF34" s="713"/>
      <c r="APG34" s="713"/>
      <c r="APH34" s="713"/>
      <c r="API34" s="713"/>
      <c r="APJ34" s="713"/>
      <c r="APK34" s="713"/>
      <c r="APL34" s="713"/>
      <c r="APM34" s="713"/>
      <c r="APN34" s="713"/>
      <c r="APO34" s="713"/>
      <c r="APP34" s="713"/>
      <c r="APQ34" s="713"/>
      <c r="APR34" s="713"/>
      <c r="APS34" s="713"/>
      <c r="APT34" s="713"/>
      <c r="APU34" s="713"/>
      <c r="APV34" s="713"/>
      <c r="APW34" s="713"/>
      <c r="APX34" s="713"/>
      <c r="APY34" s="713"/>
      <c r="APZ34" s="713"/>
      <c r="AQA34" s="713"/>
      <c r="AQB34" s="713"/>
      <c r="AQC34" s="713"/>
      <c r="AQD34" s="713"/>
      <c r="AQE34" s="713"/>
      <c r="AQF34" s="713"/>
      <c r="AQG34" s="713"/>
      <c r="AQH34" s="713"/>
      <c r="AQI34" s="713"/>
      <c r="AQJ34" s="713"/>
      <c r="AQK34" s="713"/>
      <c r="AQL34" s="713"/>
      <c r="AQM34" s="713"/>
      <c r="AQN34" s="713"/>
      <c r="AQO34" s="713"/>
      <c r="AQP34" s="713"/>
      <c r="AQQ34" s="713"/>
      <c r="AQR34" s="713"/>
      <c r="AQS34" s="713"/>
      <c r="AQT34" s="713"/>
      <c r="AQU34" s="713"/>
      <c r="AQV34" s="713"/>
      <c r="AQW34" s="713"/>
      <c r="AQX34" s="713"/>
      <c r="AQY34" s="713"/>
      <c r="AQZ34" s="713"/>
      <c r="ARA34" s="713"/>
      <c r="ARB34" s="713"/>
      <c r="ARC34" s="713"/>
      <c r="ARD34" s="713"/>
      <c r="ARE34" s="713"/>
      <c r="ARF34" s="713"/>
      <c r="ARG34" s="713"/>
      <c r="ARH34" s="713"/>
      <c r="ARI34" s="713"/>
      <c r="ARJ34" s="713"/>
      <c r="ARK34" s="713"/>
      <c r="ARL34" s="713"/>
      <c r="ARM34" s="713"/>
      <c r="ARN34" s="713"/>
      <c r="ARO34" s="713"/>
      <c r="ARP34" s="713"/>
      <c r="ARQ34" s="713"/>
      <c r="ARR34" s="713"/>
      <c r="ARS34" s="713"/>
      <c r="ART34" s="713"/>
      <c r="ARU34" s="713"/>
      <c r="ARV34" s="713"/>
      <c r="ARW34" s="713"/>
      <c r="ARX34" s="713"/>
      <c r="ARY34" s="713"/>
      <c r="ARZ34" s="713"/>
      <c r="ASA34" s="713"/>
      <c r="ASB34" s="713"/>
      <c r="ASC34" s="713"/>
      <c r="ASD34" s="713"/>
      <c r="ASE34" s="713"/>
      <c r="ASF34" s="713"/>
      <c r="ASG34" s="713"/>
      <c r="ASH34" s="713"/>
      <c r="ASI34" s="713"/>
      <c r="ASJ34" s="713"/>
      <c r="ASK34" s="713"/>
      <c r="ASL34" s="713"/>
      <c r="ASM34" s="713"/>
      <c r="ASN34" s="713"/>
      <c r="ASO34" s="713"/>
      <c r="ASP34" s="713"/>
      <c r="ASQ34" s="713"/>
      <c r="ASR34" s="713"/>
      <c r="ASS34" s="713"/>
      <c r="AST34" s="713"/>
      <c r="ASU34" s="713"/>
      <c r="ASV34" s="713"/>
      <c r="ASW34" s="713"/>
      <c r="ASX34" s="713"/>
      <c r="ASY34" s="713"/>
      <c r="ASZ34" s="713"/>
      <c r="ATA34" s="713"/>
      <c r="ATB34" s="713"/>
      <c r="ATC34" s="713"/>
      <c r="ATD34" s="713"/>
      <c r="ATE34" s="713"/>
      <c r="ATF34" s="713"/>
      <c r="ATG34" s="713"/>
      <c r="ATH34" s="713"/>
      <c r="ATI34" s="713"/>
      <c r="ATJ34" s="713"/>
      <c r="ATK34" s="713"/>
      <c r="ATL34" s="713"/>
      <c r="ATM34" s="713"/>
      <c r="ATN34" s="713"/>
      <c r="ATO34" s="713"/>
      <c r="ATP34" s="713"/>
      <c r="ATQ34" s="713"/>
      <c r="ATR34" s="713"/>
      <c r="ATS34" s="713"/>
      <c r="ATT34" s="713"/>
      <c r="ATU34" s="713"/>
      <c r="ATV34" s="713"/>
      <c r="ATW34" s="713"/>
      <c r="ATX34" s="713"/>
      <c r="ATY34" s="713"/>
      <c r="ATZ34" s="713"/>
      <c r="AUA34" s="713"/>
      <c r="AUB34" s="713"/>
      <c r="AUC34" s="713"/>
      <c r="AUD34" s="713"/>
      <c r="AUE34" s="713"/>
      <c r="AUF34" s="713"/>
      <c r="AUG34" s="713"/>
      <c r="AUH34" s="713"/>
      <c r="AUI34" s="713"/>
      <c r="AUJ34" s="713"/>
      <c r="AUK34" s="713"/>
      <c r="AUL34" s="713"/>
      <c r="AUM34" s="713"/>
      <c r="AUN34" s="713"/>
      <c r="AUO34" s="713"/>
      <c r="AUP34" s="713"/>
      <c r="AUQ34" s="713"/>
      <c r="AUR34" s="713"/>
      <c r="AUS34" s="713"/>
      <c r="AUT34" s="713"/>
      <c r="AUU34" s="713"/>
      <c r="AUV34" s="713"/>
      <c r="AUW34" s="713"/>
      <c r="AUX34" s="713"/>
      <c r="AUY34" s="713"/>
      <c r="AUZ34" s="713"/>
      <c r="AVA34" s="713"/>
      <c r="AVB34" s="713"/>
      <c r="AVC34" s="713"/>
      <c r="AVD34" s="713"/>
      <c r="AVE34" s="713"/>
      <c r="AVF34" s="713"/>
      <c r="AVG34" s="713"/>
      <c r="AVH34" s="713"/>
      <c r="AVI34" s="713"/>
      <c r="AVJ34" s="713"/>
      <c r="AVK34" s="713"/>
      <c r="AVL34" s="713"/>
      <c r="AVM34" s="713"/>
      <c r="AVN34" s="713"/>
      <c r="AVO34" s="713"/>
      <c r="AVP34" s="713"/>
      <c r="AVQ34" s="713"/>
      <c r="AVR34" s="713"/>
      <c r="AVS34" s="713"/>
      <c r="AVT34" s="713"/>
      <c r="AVU34" s="713"/>
      <c r="AVV34" s="713"/>
      <c r="AVW34" s="713"/>
      <c r="AVX34" s="713"/>
      <c r="AVY34" s="713"/>
      <c r="AVZ34" s="713"/>
      <c r="AWA34" s="713"/>
      <c r="AWB34" s="713"/>
      <c r="AWC34" s="713"/>
      <c r="AWD34" s="713"/>
      <c r="AWE34" s="713"/>
      <c r="AWF34" s="713"/>
      <c r="AWG34" s="713"/>
      <c r="AWH34" s="713"/>
      <c r="AWI34" s="713"/>
      <c r="AWJ34" s="713"/>
      <c r="AWK34" s="713"/>
      <c r="AWL34" s="713"/>
      <c r="AWM34" s="713"/>
      <c r="AWN34" s="713"/>
      <c r="AWO34" s="713"/>
      <c r="AWP34" s="713"/>
      <c r="AWQ34" s="713"/>
      <c r="AWR34" s="713"/>
      <c r="AWS34" s="713"/>
      <c r="AWT34" s="713"/>
      <c r="AWU34" s="713"/>
      <c r="AWV34" s="713"/>
      <c r="AWW34" s="713"/>
      <c r="AWX34" s="713"/>
      <c r="AWY34" s="713"/>
      <c r="AWZ34" s="713"/>
      <c r="AXA34" s="713"/>
      <c r="AXB34" s="713"/>
      <c r="AXC34" s="713"/>
      <c r="AXD34" s="713"/>
      <c r="AXE34" s="713"/>
      <c r="AXF34" s="713"/>
      <c r="AXG34" s="713"/>
      <c r="AXH34" s="713"/>
      <c r="AXI34" s="713"/>
      <c r="AXJ34" s="713"/>
      <c r="AXK34" s="713"/>
      <c r="AXL34" s="713"/>
      <c r="AXM34" s="713"/>
      <c r="AXN34" s="713"/>
      <c r="AXO34" s="713"/>
      <c r="AXP34" s="713"/>
      <c r="AXQ34" s="713"/>
      <c r="AXR34" s="713"/>
      <c r="AXS34" s="713"/>
      <c r="AXT34" s="713"/>
      <c r="AXU34" s="713"/>
      <c r="AXV34" s="713"/>
      <c r="AXW34" s="713"/>
      <c r="AXX34" s="713"/>
      <c r="AXY34" s="713"/>
      <c r="AXZ34" s="713"/>
      <c r="AYA34" s="713"/>
      <c r="AYB34" s="713"/>
      <c r="AYC34" s="713"/>
      <c r="AYD34" s="713"/>
      <c r="AYE34" s="713"/>
      <c r="AYF34" s="713"/>
      <c r="AYG34" s="713"/>
      <c r="AYH34" s="713"/>
      <c r="AYI34" s="713"/>
      <c r="AYJ34" s="713"/>
      <c r="AYK34" s="713"/>
      <c r="AYL34" s="713"/>
      <c r="AYM34" s="713"/>
      <c r="AYN34" s="713"/>
      <c r="AYO34" s="713"/>
      <c r="AYP34" s="713"/>
      <c r="AYQ34" s="713"/>
      <c r="AYR34" s="713"/>
      <c r="AYS34" s="713"/>
      <c r="AYT34" s="713"/>
      <c r="AYU34" s="713"/>
      <c r="AYV34" s="713"/>
      <c r="AYW34" s="713"/>
      <c r="AYX34" s="713"/>
      <c r="AYY34" s="713"/>
      <c r="AYZ34" s="713"/>
      <c r="AZA34" s="713"/>
      <c r="AZB34" s="713"/>
      <c r="AZC34" s="713"/>
      <c r="AZD34" s="713"/>
      <c r="AZE34" s="713"/>
      <c r="AZF34" s="713"/>
      <c r="AZG34" s="713"/>
      <c r="AZH34" s="713"/>
      <c r="AZI34" s="713"/>
      <c r="AZJ34" s="713"/>
      <c r="AZK34" s="713"/>
      <c r="AZL34" s="713"/>
      <c r="AZM34" s="713"/>
      <c r="AZN34" s="713"/>
      <c r="AZO34" s="713"/>
      <c r="AZP34" s="713"/>
      <c r="AZQ34" s="713"/>
      <c r="AZR34" s="713"/>
      <c r="AZS34" s="713"/>
      <c r="AZT34" s="713"/>
      <c r="AZU34" s="713"/>
      <c r="AZV34" s="713"/>
      <c r="AZW34" s="713"/>
      <c r="AZX34" s="713"/>
      <c r="AZY34" s="713"/>
      <c r="AZZ34" s="713"/>
      <c r="BAA34" s="713"/>
      <c r="BAB34" s="713"/>
      <c r="BAC34" s="713"/>
      <c r="BAD34" s="713"/>
      <c r="BAE34" s="713"/>
      <c r="BAF34" s="713"/>
      <c r="BAG34" s="713"/>
      <c r="BAH34" s="713"/>
      <c r="BAI34" s="713"/>
      <c r="BAJ34" s="713"/>
      <c r="BAK34" s="713"/>
      <c r="BAL34" s="713"/>
      <c r="BAM34" s="713"/>
      <c r="BAN34" s="713"/>
      <c r="BAO34" s="713"/>
      <c r="BAP34" s="713"/>
      <c r="BAQ34" s="713"/>
      <c r="BAR34" s="713"/>
      <c r="BAS34" s="713"/>
      <c r="BAT34" s="713"/>
      <c r="BAU34" s="713"/>
      <c r="BAV34" s="713"/>
      <c r="BAW34" s="713"/>
      <c r="BAX34" s="713"/>
      <c r="BAY34" s="713"/>
      <c r="BAZ34" s="713"/>
      <c r="BBA34" s="713"/>
      <c r="BBB34" s="713"/>
      <c r="BBC34" s="713"/>
      <c r="BBD34" s="713"/>
      <c r="BBE34" s="713"/>
      <c r="BBF34" s="713"/>
      <c r="BBG34" s="713"/>
      <c r="BBH34" s="713"/>
      <c r="BBI34" s="713"/>
      <c r="BBJ34" s="713"/>
      <c r="BBK34" s="713"/>
      <c r="BBL34" s="713"/>
      <c r="BBM34" s="713"/>
      <c r="BBN34" s="713"/>
      <c r="BBO34" s="713"/>
      <c r="BBP34" s="713"/>
      <c r="BBQ34" s="713"/>
      <c r="BBR34" s="713"/>
      <c r="BBS34" s="713"/>
      <c r="BBT34" s="713"/>
      <c r="BBU34" s="713"/>
      <c r="BBV34" s="713"/>
      <c r="BBW34" s="713"/>
      <c r="BBX34" s="713"/>
      <c r="BBY34" s="713"/>
      <c r="BBZ34" s="713"/>
      <c r="BCA34" s="713"/>
      <c r="BCB34" s="713"/>
      <c r="BCC34" s="713"/>
      <c r="BCD34" s="713"/>
      <c r="BCE34" s="713"/>
      <c r="BCF34" s="713"/>
      <c r="BCG34" s="713"/>
      <c r="BCH34" s="713"/>
      <c r="BCI34" s="713"/>
      <c r="BCJ34" s="713"/>
      <c r="BCK34" s="713"/>
      <c r="BCL34" s="713"/>
      <c r="BCM34" s="713"/>
      <c r="BCN34" s="713"/>
      <c r="BCO34" s="713"/>
      <c r="BCP34" s="713"/>
      <c r="BCQ34" s="713"/>
      <c r="BCR34" s="713"/>
      <c r="BCS34" s="713"/>
      <c r="BCT34" s="713"/>
      <c r="BCU34" s="713"/>
      <c r="BCV34" s="713"/>
      <c r="BCW34" s="713"/>
      <c r="BCX34" s="713"/>
      <c r="BCY34" s="713"/>
      <c r="BCZ34" s="713"/>
      <c r="BDA34" s="713"/>
      <c r="BDB34" s="713"/>
      <c r="BDC34" s="713"/>
      <c r="BDD34" s="713"/>
      <c r="BDE34" s="713"/>
      <c r="BDF34" s="713"/>
      <c r="BDG34" s="713"/>
      <c r="BDH34" s="713"/>
      <c r="BDI34" s="713"/>
      <c r="BDJ34" s="713"/>
      <c r="BDK34" s="713"/>
      <c r="BDL34" s="713"/>
      <c r="BDM34" s="713"/>
      <c r="BDN34" s="713"/>
      <c r="BDO34" s="713"/>
      <c r="BDP34" s="713"/>
      <c r="BDQ34" s="713"/>
      <c r="BDR34" s="713"/>
      <c r="BDS34" s="713"/>
      <c r="BDT34" s="713"/>
      <c r="BDU34" s="713"/>
      <c r="BDV34" s="713"/>
      <c r="BDW34" s="713"/>
      <c r="BDX34" s="713"/>
      <c r="BDY34" s="713"/>
      <c r="BDZ34" s="713"/>
      <c r="BEA34" s="713"/>
      <c r="BEB34" s="713"/>
      <c r="BEC34" s="713"/>
      <c r="BED34" s="713"/>
      <c r="BEE34" s="713"/>
      <c r="BEF34" s="713"/>
      <c r="BEG34" s="713"/>
      <c r="BEH34" s="713"/>
      <c r="BEI34" s="713"/>
      <c r="BEJ34" s="713"/>
      <c r="BEK34" s="713"/>
      <c r="BEL34" s="713"/>
      <c r="BEM34" s="713"/>
      <c r="BEN34" s="713"/>
      <c r="BEO34" s="713"/>
      <c r="BEP34" s="713"/>
      <c r="BEQ34" s="713"/>
      <c r="BER34" s="713"/>
      <c r="BES34" s="713"/>
      <c r="BET34" s="713"/>
      <c r="BEU34" s="713"/>
      <c r="BEV34" s="713"/>
      <c r="BEW34" s="713"/>
      <c r="BEX34" s="713"/>
      <c r="BEY34" s="713"/>
      <c r="BEZ34" s="713"/>
      <c r="BFA34" s="713"/>
      <c r="BFB34" s="713"/>
      <c r="BFC34" s="713"/>
      <c r="BFD34" s="713"/>
      <c r="BFE34" s="713"/>
      <c r="BFF34" s="713"/>
      <c r="BFG34" s="713"/>
      <c r="BFH34" s="713"/>
      <c r="BFI34" s="713"/>
      <c r="BFJ34" s="713"/>
      <c r="BFK34" s="713"/>
      <c r="BFL34" s="713"/>
      <c r="BFM34" s="713"/>
      <c r="BFN34" s="713"/>
      <c r="BFO34" s="713"/>
      <c r="BFP34" s="713"/>
      <c r="BFQ34" s="713"/>
      <c r="BFR34" s="713"/>
      <c r="BFS34" s="713"/>
      <c r="BFT34" s="713"/>
      <c r="BFU34" s="713"/>
      <c r="BFV34" s="713"/>
      <c r="BFW34" s="713"/>
      <c r="BFX34" s="713"/>
      <c r="BFY34" s="713"/>
      <c r="BFZ34" s="713"/>
      <c r="BGA34" s="713"/>
      <c r="BGB34" s="713"/>
      <c r="BGC34" s="713"/>
      <c r="BGD34" s="713"/>
      <c r="BGE34" s="713"/>
      <c r="BGF34" s="713"/>
      <c r="BGG34" s="713"/>
      <c r="BGH34" s="713"/>
      <c r="BGI34" s="713"/>
      <c r="BGJ34" s="713"/>
      <c r="BGK34" s="713"/>
      <c r="BGL34" s="713"/>
      <c r="BGM34" s="713"/>
      <c r="BGN34" s="713"/>
      <c r="BGO34" s="713"/>
      <c r="BGP34" s="713"/>
      <c r="BGQ34" s="713"/>
      <c r="BGR34" s="713"/>
      <c r="BGS34" s="713"/>
      <c r="BGT34" s="713"/>
      <c r="BGU34" s="713"/>
      <c r="BGV34" s="713"/>
      <c r="BGW34" s="713"/>
      <c r="BGX34" s="713"/>
      <c r="BGY34" s="713"/>
      <c r="BGZ34" s="713"/>
      <c r="BHA34" s="713"/>
      <c r="BHB34" s="713"/>
      <c r="BHC34" s="713"/>
      <c r="BHD34" s="713"/>
      <c r="BHE34" s="713"/>
      <c r="BHF34" s="713"/>
      <c r="BHG34" s="713"/>
      <c r="BHH34" s="713"/>
      <c r="BHI34" s="713"/>
      <c r="BHJ34" s="713"/>
      <c r="BHK34" s="713"/>
      <c r="BHL34" s="713"/>
      <c r="BHM34" s="713"/>
      <c r="BHN34" s="713"/>
      <c r="BHO34" s="713"/>
      <c r="BHP34" s="713"/>
      <c r="BHQ34" s="713"/>
      <c r="BHR34" s="713"/>
      <c r="BHS34" s="713"/>
      <c r="BHT34" s="713"/>
      <c r="BHU34" s="713"/>
      <c r="BHV34" s="713"/>
      <c r="BHW34" s="713"/>
      <c r="BHX34" s="713"/>
      <c r="BHY34" s="713"/>
      <c r="BHZ34" s="713"/>
      <c r="BIA34" s="713"/>
      <c r="BIB34" s="713"/>
      <c r="BIC34" s="713"/>
      <c r="BID34" s="713"/>
      <c r="BIE34" s="713"/>
      <c r="BIF34" s="713"/>
      <c r="BIG34" s="713"/>
      <c r="BIH34" s="713"/>
      <c r="BII34" s="713"/>
      <c r="BIJ34" s="713"/>
      <c r="BIK34" s="713"/>
      <c r="BIL34" s="713"/>
      <c r="BIM34" s="713"/>
      <c r="BIN34" s="713"/>
      <c r="BIO34" s="713"/>
      <c r="BIP34" s="713"/>
      <c r="BIQ34" s="713"/>
      <c r="BIR34" s="713"/>
      <c r="BIS34" s="713"/>
      <c r="BIT34" s="713"/>
      <c r="BIU34" s="713"/>
      <c r="BIV34" s="713"/>
      <c r="BIW34" s="713"/>
      <c r="BIX34" s="713"/>
      <c r="BIY34" s="713"/>
      <c r="BIZ34" s="713"/>
      <c r="BJA34" s="713"/>
      <c r="BJB34" s="713"/>
      <c r="BJC34" s="713"/>
      <c r="BJD34" s="713"/>
      <c r="BJE34" s="713"/>
      <c r="BJF34" s="713"/>
      <c r="BJG34" s="713"/>
      <c r="BJH34" s="713"/>
      <c r="BJI34" s="713"/>
      <c r="BJJ34" s="713"/>
      <c r="BJK34" s="713"/>
      <c r="BJL34" s="713"/>
      <c r="BJM34" s="713"/>
      <c r="BJN34" s="713"/>
      <c r="BJO34" s="713"/>
      <c r="BJP34" s="713"/>
      <c r="BJQ34" s="713"/>
      <c r="BJR34" s="713"/>
      <c r="BJS34" s="713"/>
      <c r="BJT34" s="713"/>
      <c r="BJU34" s="713"/>
      <c r="BJV34" s="713"/>
      <c r="BJW34" s="713"/>
      <c r="BJX34" s="713"/>
      <c r="BJY34" s="713"/>
      <c r="BJZ34" s="713"/>
      <c r="BKA34" s="713"/>
      <c r="BKB34" s="713"/>
      <c r="BKC34" s="713"/>
      <c r="BKD34" s="713"/>
      <c r="BKE34" s="713"/>
      <c r="BKF34" s="713"/>
      <c r="BKG34" s="713"/>
      <c r="BKH34" s="713"/>
      <c r="BKI34" s="713"/>
      <c r="BKJ34" s="713"/>
      <c r="BKK34" s="713"/>
      <c r="BKL34" s="713"/>
      <c r="BKM34" s="713"/>
      <c r="BKN34" s="713"/>
      <c r="BKO34" s="713"/>
      <c r="BKP34" s="713"/>
      <c r="BKQ34" s="713"/>
      <c r="BKR34" s="713"/>
      <c r="BKS34" s="713"/>
      <c r="BKT34" s="713"/>
      <c r="BKU34" s="713"/>
      <c r="BKV34" s="713"/>
      <c r="BKW34" s="713"/>
      <c r="BKX34" s="713"/>
      <c r="BKY34" s="713"/>
      <c r="BKZ34" s="713"/>
      <c r="BLA34" s="713"/>
      <c r="BLB34" s="713"/>
      <c r="BLC34" s="713"/>
      <c r="BLD34" s="713"/>
      <c r="BLE34" s="713"/>
      <c r="BLF34" s="713"/>
      <c r="BLG34" s="713"/>
      <c r="BLH34" s="713"/>
      <c r="BLI34" s="713"/>
      <c r="BLJ34" s="713"/>
      <c r="BLK34" s="713"/>
      <c r="BLL34" s="713"/>
      <c r="BLM34" s="713"/>
      <c r="BLN34" s="713"/>
      <c r="BLO34" s="713"/>
      <c r="BLP34" s="713"/>
      <c r="BLQ34" s="713"/>
      <c r="BLR34" s="713"/>
      <c r="BLS34" s="713"/>
      <c r="BLT34" s="713"/>
      <c r="BLU34" s="713"/>
      <c r="BLV34" s="713"/>
      <c r="BLW34" s="713"/>
      <c r="BLX34" s="713"/>
      <c r="BLY34" s="713"/>
      <c r="BLZ34" s="713"/>
      <c r="BMA34" s="713"/>
      <c r="BMB34" s="713"/>
      <c r="BMC34" s="713"/>
      <c r="BMD34" s="713"/>
      <c r="BME34" s="713"/>
      <c r="BMF34" s="713"/>
      <c r="BMG34" s="713"/>
      <c r="BMH34" s="713"/>
      <c r="BMI34" s="713"/>
      <c r="BMJ34" s="713"/>
      <c r="BMK34" s="713"/>
      <c r="BML34" s="713"/>
      <c r="BMM34" s="713"/>
      <c r="BMN34" s="713"/>
      <c r="BMO34" s="713"/>
      <c r="BMP34" s="713"/>
      <c r="BMQ34" s="713"/>
      <c r="BMR34" s="713"/>
      <c r="BMS34" s="713"/>
      <c r="BMT34" s="713"/>
      <c r="BMU34" s="713"/>
      <c r="BMV34" s="713"/>
      <c r="BMW34" s="713"/>
      <c r="BMX34" s="713"/>
      <c r="BMY34" s="713"/>
      <c r="BMZ34" s="713"/>
      <c r="BNA34" s="713"/>
      <c r="BNB34" s="713"/>
      <c r="BNC34" s="713"/>
      <c r="BND34" s="713"/>
      <c r="BNE34" s="713"/>
      <c r="BNF34" s="713"/>
      <c r="BNG34" s="713"/>
      <c r="BNH34" s="713"/>
      <c r="BNI34" s="713"/>
      <c r="BNJ34" s="713"/>
      <c r="BNK34" s="713"/>
      <c r="BNL34" s="713"/>
      <c r="BNM34" s="713"/>
      <c r="BNN34" s="713"/>
      <c r="BNO34" s="713"/>
      <c r="BNP34" s="713"/>
      <c r="BNQ34" s="713"/>
      <c r="BNR34" s="713"/>
      <c r="BNS34" s="713"/>
      <c r="BNT34" s="713"/>
      <c r="BNU34" s="713"/>
      <c r="BNV34" s="713"/>
      <c r="BNW34" s="713"/>
      <c r="BNX34" s="713"/>
      <c r="BNY34" s="713"/>
      <c r="BNZ34" s="713"/>
      <c r="BOA34" s="713"/>
      <c r="BOB34" s="713"/>
      <c r="BOC34" s="713"/>
      <c r="BOD34" s="713"/>
      <c r="BOE34" s="713"/>
      <c r="BOF34" s="713"/>
      <c r="BOG34" s="713"/>
      <c r="BOH34" s="713"/>
      <c r="BOI34" s="713"/>
      <c r="BOJ34" s="713"/>
      <c r="BOK34" s="713"/>
      <c r="BOL34" s="713"/>
      <c r="BOM34" s="713"/>
      <c r="BON34" s="713"/>
      <c r="BOO34" s="713"/>
      <c r="BOP34" s="713"/>
      <c r="BOQ34" s="713"/>
      <c r="BOR34" s="713"/>
      <c r="BOS34" s="713"/>
      <c r="BOT34" s="713"/>
      <c r="BOU34" s="713"/>
      <c r="BOV34" s="713"/>
      <c r="BOW34" s="713"/>
      <c r="BOX34" s="713"/>
      <c r="BOY34" s="713"/>
      <c r="BOZ34" s="713"/>
      <c r="BPA34" s="713"/>
      <c r="BPB34" s="713"/>
      <c r="BPC34" s="713"/>
      <c r="BPD34" s="713"/>
      <c r="BPE34" s="713"/>
      <c r="BPF34" s="713"/>
      <c r="BPG34" s="713"/>
      <c r="BPH34" s="713"/>
      <c r="BPI34" s="713"/>
      <c r="BPJ34" s="713"/>
      <c r="BPK34" s="713"/>
      <c r="BPL34" s="713"/>
      <c r="BPM34" s="713"/>
      <c r="BPN34" s="713"/>
      <c r="BPO34" s="713"/>
      <c r="BPP34" s="713"/>
      <c r="BPQ34" s="713"/>
      <c r="BPR34" s="713"/>
      <c r="BPS34" s="713"/>
      <c r="BPT34" s="713"/>
      <c r="BPU34" s="713"/>
      <c r="BPV34" s="713"/>
      <c r="BPW34" s="713"/>
      <c r="BPX34" s="713"/>
      <c r="BPY34" s="713"/>
      <c r="BPZ34" s="713"/>
      <c r="BQA34" s="713"/>
      <c r="BQB34" s="713"/>
      <c r="BQC34" s="713"/>
      <c r="BQD34" s="713"/>
      <c r="BQE34" s="713"/>
      <c r="BQF34" s="713"/>
      <c r="BQG34" s="713"/>
      <c r="BQH34" s="713"/>
      <c r="BQI34" s="713"/>
      <c r="BQJ34" s="713"/>
      <c r="BQK34" s="713"/>
      <c r="BQL34" s="713"/>
      <c r="BQM34" s="713"/>
      <c r="BQN34" s="713"/>
      <c r="BQO34" s="713"/>
      <c r="BQP34" s="713"/>
      <c r="BQQ34" s="713"/>
      <c r="BQR34" s="713"/>
      <c r="BQS34" s="713"/>
      <c r="BQT34" s="713"/>
      <c r="BQU34" s="713"/>
      <c r="BQV34" s="713"/>
      <c r="BQW34" s="713"/>
      <c r="BQX34" s="713"/>
      <c r="BQY34" s="713"/>
      <c r="BQZ34" s="713"/>
      <c r="BRA34" s="713"/>
      <c r="BRB34" s="713"/>
      <c r="BRC34" s="713"/>
      <c r="BRD34" s="713"/>
      <c r="BRE34" s="713"/>
      <c r="BRF34" s="713"/>
      <c r="BRG34" s="713"/>
      <c r="BRH34" s="713"/>
      <c r="BRI34" s="713"/>
      <c r="BRJ34" s="713"/>
      <c r="BRK34" s="713"/>
      <c r="BRL34" s="713"/>
      <c r="BRM34" s="713"/>
      <c r="BRN34" s="713"/>
      <c r="BRO34" s="713"/>
      <c r="BRP34" s="713"/>
      <c r="BRQ34" s="713"/>
      <c r="BRR34" s="713"/>
      <c r="BRS34" s="713"/>
      <c r="BRT34" s="713"/>
      <c r="BRU34" s="713"/>
      <c r="BRV34" s="713"/>
      <c r="BRW34" s="713"/>
      <c r="BRX34" s="713"/>
      <c r="BRY34" s="713"/>
      <c r="BRZ34" s="713"/>
      <c r="BSA34" s="713"/>
      <c r="BSB34" s="713"/>
      <c r="BSC34" s="713"/>
      <c r="BSD34" s="713"/>
      <c r="BSE34" s="713"/>
      <c r="BSF34" s="713"/>
      <c r="BSG34" s="713"/>
      <c r="BSH34" s="713"/>
      <c r="BSI34" s="713"/>
      <c r="BSJ34" s="713"/>
      <c r="BSK34" s="713"/>
      <c r="BSL34" s="713"/>
      <c r="BSM34" s="713"/>
      <c r="BSN34" s="713"/>
      <c r="BSO34" s="713"/>
      <c r="BSP34" s="713"/>
      <c r="BSQ34" s="713"/>
      <c r="BSR34" s="713"/>
      <c r="BSS34" s="713"/>
      <c r="BST34" s="713"/>
      <c r="BSU34" s="713"/>
      <c r="BSV34" s="713"/>
      <c r="BSW34" s="713"/>
      <c r="BSX34" s="713"/>
      <c r="BSY34" s="713"/>
      <c r="BSZ34" s="713"/>
      <c r="BTA34" s="713"/>
      <c r="BTB34" s="713"/>
      <c r="BTC34" s="713"/>
      <c r="BTD34" s="713"/>
      <c r="BTE34" s="713"/>
      <c r="BTF34" s="713"/>
      <c r="BTG34" s="713"/>
      <c r="BTH34" s="713"/>
      <c r="BTI34" s="713"/>
      <c r="BTJ34" s="713"/>
      <c r="BTK34" s="713"/>
      <c r="BTL34" s="713"/>
      <c r="BTM34" s="713"/>
      <c r="BTN34" s="713"/>
      <c r="BTO34" s="713"/>
      <c r="BTP34" s="713"/>
      <c r="BTQ34" s="713"/>
      <c r="BTR34" s="713"/>
      <c r="BTS34" s="713"/>
      <c r="BTT34" s="713"/>
      <c r="BTU34" s="713"/>
      <c r="BTV34" s="713"/>
      <c r="BTW34" s="713"/>
      <c r="BTX34" s="713"/>
      <c r="BTY34" s="713"/>
      <c r="BTZ34" s="713"/>
      <c r="BUA34" s="713"/>
      <c r="BUB34" s="713"/>
      <c r="BUC34" s="713"/>
      <c r="BUD34" s="713"/>
      <c r="BUE34" s="713"/>
      <c r="BUF34" s="713"/>
      <c r="BUG34" s="713"/>
      <c r="BUH34" s="713"/>
      <c r="BUI34" s="713"/>
      <c r="BUJ34" s="713"/>
      <c r="BUK34" s="713"/>
      <c r="BUL34" s="713"/>
      <c r="BUM34" s="713"/>
      <c r="BUN34" s="713"/>
      <c r="BUO34" s="713"/>
      <c r="BUP34" s="713"/>
      <c r="BUQ34" s="713"/>
      <c r="BUR34" s="713"/>
      <c r="BUS34" s="713"/>
      <c r="BUT34" s="713"/>
      <c r="BUU34" s="713"/>
      <c r="BUV34" s="713"/>
      <c r="BUW34" s="713"/>
      <c r="BUX34" s="713"/>
      <c r="BUY34" s="713"/>
      <c r="BUZ34" s="713"/>
      <c r="BVA34" s="713"/>
      <c r="BVB34" s="713"/>
      <c r="BVC34" s="713"/>
      <c r="BVD34" s="713"/>
      <c r="BVE34" s="713"/>
      <c r="BVF34" s="713"/>
      <c r="BVG34" s="713"/>
      <c r="BVH34" s="713"/>
      <c r="BVI34" s="713"/>
      <c r="BVJ34" s="713"/>
      <c r="BVK34" s="713"/>
      <c r="BVL34" s="713"/>
      <c r="BVM34" s="713"/>
      <c r="BVN34" s="713"/>
      <c r="BVO34" s="713"/>
      <c r="BVP34" s="713"/>
      <c r="BVQ34" s="713"/>
      <c r="BVR34" s="713"/>
      <c r="BVS34" s="713"/>
      <c r="BVT34" s="713"/>
      <c r="BVU34" s="713"/>
      <c r="BVV34" s="713"/>
      <c r="BVW34" s="713"/>
      <c r="BVX34" s="713"/>
      <c r="BVY34" s="713"/>
      <c r="BVZ34" s="713"/>
      <c r="BWA34" s="713"/>
      <c r="BWB34" s="713"/>
      <c r="BWC34" s="713"/>
      <c r="BWD34" s="713"/>
      <c r="BWE34" s="713"/>
      <c r="BWF34" s="713"/>
      <c r="BWG34" s="713"/>
      <c r="BWH34" s="713"/>
      <c r="BWI34" s="713"/>
      <c r="BWJ34" s="713"/>
      <c r="BWK34" s="713"/>
      <c r="BWL34" s="713"/>
      <c r="BWM34" s="713"/>
      <c r="BWN34" s="713"/>
      <c r="BWO34" s="713"/>
      <c r="BWP34" s="713"/>
      <c r="BWQ34" s="713"/>
      <c r="BWR34" s="713"/>
      <c r="BWS34" s="713"/>
      <c r="BWT34" s="713"/>
      <c r="BWU34" s="713"/>
      <c r="BWV34" s="713"/>
      <c r="BWW34" s="713"/>
      <c r="BWX34" s="713"/>
      <c r="BWY34" s="713"/>
      <c r="BWZ34" s="713"/>
      <c r="BXA34" s="713"/>
      <c r="BXB34" s="713"/>
      <c r="BXC34" s="713"/>
      <c r="BXD34" s="713"/>
      <c r="BXE34" s="713"/>
      <c r="BXF34" s="713"/>
      <c r="BXG34" s="713"/>
      <c r="BXH34" s="713"/>
      <c r="BXI34" s="713"/>
      <c r="BXJ34" s="713"/>
      <c r="BXK34" s="713"/>
      <c r="BXL34" s="713"/>
      <c r="BXM34" s="713"/>
      <c r="BXN34" s="713"/>
      <c r="BXO34" s="713"/>
      <c r="BXP34" s="713"/>
      <c r="BXQ34" s="713"/>
      <c r="BXR34" s="713"/>
      <c r="BXS34" s="713"/>
      <c r="BXT34" s="713"/>
      <c r="BXU34" s="713"/>
      <c r="BXV34" s="713"/>
      <c r="BXW34" s="713"/>
      <c r="BXX34" s="713"/>
      <c r="BXY34" s="713"/>
      <c r="BXZ34" s="713"/>
      <c r="BYA34" s="713"/>
      <c r="BYB34" s="713"/>
      <c r="BYC34" s="713"/>
      <c r="BYD34" s="713"/>
      <c r="BYE34" s="713"/>
      <c r="BYF34" s="713"/>
      <c r="BYG34" s="713"/>
      <c r="BYH34" s="713"/>
      <c r="BYI34" s="713"/>
      <c r="BYJ34" s="713"/>
      <c r="BYK34" s="713"/>
      <c r="BYL34" s="713"/>
      <c r="BYM34" s="713"/>
      <c r="BYN34" s="713"/>
      <c r="BYO34" s="713"/>
      <c r="BYP34" s="713"/>
      <c r="BYQ34" s="713"/>
      <c r="BYR34" s="713"/>
      <c r="BYS34" s="713"/>
      <c r="BYT34" s="713"/>
      <c r="BYU34" s="713"/>
      <c r="BYV34" s="713"/>
      <c r="BYW34" s="713"/>
      <c r="BYX34" s="713"/>
      <c r="BYY34" s="713"/>
      <c r="BYZ34" s="713"/>
      <c r="BZA34" s="713"/>
      <c r="BZB34" s="713"/>
      <c r="BZC34" s="713"/>
      <c r="BZD34" s="713"/>
      <c r="BZE34" s="713"/>
      <c r="BZF34" s="713"/>
      <c r="BZG34" s="713"/>
      <c r="BZH34" s="713"/>
      <c r="BZI34" s="713"/>
      <c r="BZJ34" s="713"/>
      <c r="BZK34" s="713"/>
      <c r="BZL34" s="713"/>
      <c r="BZM34" s="713"/>
      <c r="BZN34" s="713"/>
      <c r="BZO34" s="713"/>
      <c r="BZP34" s="713"/>
      <c r="BZQ34" s="713"/>
      <c r="BZR34" s="713"/>
      <c r="BZS34" s="713"/>
      <c r="BZT34" s="713"/>
      <c r="BZU34" s="713"/>
      <c r="BZV34" s="713"/>
      <c r="BZW34" s="713"/>
      <c r="BZX34" s="713"/>
      <c r="BZY34" s="713"/>
      <c r="BZZ34" s="713"/>
      <c r="CAA34" s="713"/>
      <c r="CAB34" s="713"/>
      <c r="CAC34" s="713"/>
      <c r="CAD34" s="713"/>
      <c r="CAE34" s="713"/>
      <c r="CAF34" s="713"/>
      <c r="CAG34" s="713"/>
      <c r="CAH34" s="713"/>
      <c r="CAI34" s="713"/>
      <c r="CAJ34" s="713"/>
      <c r="CAK34" s="713"/>
      <c r="CAL34" s="713"/>
      <c r="CAM34" s="713"/>
      <c r="CAN34" s="713"/>
      <c r="CAO34" s="713"/>
      <c r="CAP34" s="713"/>
      <c r="CAQ34" s="713"/>
      <c r="CAR34" s="713"/>
      <c r="CAS34" s="713"/>
      <c r="CAT34" s="713"/>
      <c r="CAU34" s="713"/>
      <c r="CAV34" s="713"/>
      <c r="CAW34" s="713"/>
      <c r="CAX34" s="713"/>
      <c r="CAY34" s="713"/>
      <c r="CAZ34" s="713"/>
      <c r="CBA34" s="713"/>
      <c r="CBB34" s="713"/>
      <c r="CBC34" s="713"/>
      <c r="CBD34" s="713"/>
      <c r="CBE34" s="713"/>
      <c r="CBF34" s="713"/>
      <c r="CBG34" s="713"/>
      <c r="CBH34" s="713"/>
      <c r="CBI34" s="713"/>
      <c r="CBJ34" s="713"/>
      <c r="CBK34" s="713"/>
      <c r="CBL34" s="713"/>
      <c r="CBM34" s="713"/>
      <c r="CBN34" s="713"/>
      <c r="CBO34" s="713"/>
      <c r="CBP34" s="713"/>
      <c r="CBQ34" s="713"/>
      <c r="CBR34" s="713"/>
      <c r="CBS34" s="713"/>
      <c r="CBT34" s="713"/>
      <c r="CBU34" s="713"/>
      <c r="CBV34" s="713"/>
      <c r="CBW34" s="713"/>
      <c r="CBX34" s="713"/>
      <c r="CBY34" s="713"/>
      <c r="CBZ34" s="713"/>
      <c r="CCA34" s="713"/>
      <c r="CCB34" s="713"/>
      <c r="CCC34" s="713"/>
      <c r="CCD34" s="713"/>
      <c r="CCE34" s="713"/>
      <c r="CCF34" s="713"/>
      <c r="CCG34" s="713"/>
      <c r="CCH34" s="713"/>
      <c r="CCI34" s="713"/>
      <c r="CCJ34" s="713"/>
      <c r="CCK34" s="713"/>
      <c r="CCL34" s="713"/>
      <c r="CCM34" s="713"/>
      <c r="CCN34" s="713"/>
      <c r="CCO34" s="713"/>
      <c r="CCP34" s="713"/>
      <c r="CCQ34" s="713"/>
      <c r="CCR34" s="713"/>
      <c r="CCS34" s="713"/>
      <c r="CCT34" s="713"/>
      <c r="CCU34" s="713"/>
      <c r="CCV34" s="713"/>
      <c r="CCW34" s="713"/>
      <c r="CCX34" s="713"/>
      <c r="CCY34" s="713"/>
      <c r="CCZ34" s="713"/>
      <c r="CDA34" s="713"/>
      <c r="CDB34" s="713"/>
      <c r="CDC34" s="713"/>
      <c r="CDD34" s="713"/>
      <c r="CDE34" s="713"/>
      <c r="CDF34" s="713"/>
      <c r="CDG34" s="713"/>
      <c r="CDH34" s="713"/>
      <c r="CDI34" s="713"/>
      <c r="CDJ34" s="713"/>
      <c r="CDK34" s="713"/>
      <c r="CDL34" s="713"/>
      <c r="CDM34" s="713"/>
      <c r="CDN34" s="713"/>
      <c r="CDO34" s="713"/>
      <c r="CDP34" s="713"/>
      <c r="CDQ34" s="713"/>
      <c r="CDR34" s="713"/>
      <c r="CDS34" s="713"/>
      <c r="CDT34" s="713"/>
      <c r="CDU34" s="713"/>
      <c r="CDV34" s="713"/>
      <c r="CDW34" s="713"/>
      <c r="CDX34" s="713"/>
      <c r="CDY34" s="713"/>
      <c r="CDZ34" s="713"/>
      <c r="CEA34" s="713"/>
      <c r="CEB34" s="713"/>
      <c r="CEC34" s="713"/>
      <c r="CED34" s="713"/>
      <c r="CEE34" s="713"/>
      <c r="CEF34" s="713"/>
      <c r="CEG34" s="713"/>
      <c r="CEH34" s="713"/>
      <c r="CEI34" s="713"/>
      <c r="CEJ34" s="713"/>
      <c r="CEK34" s="713"/>
      <c r="CEL34" s="713"/>
      <c r="CEM34" s="713"/>
      <c r="CEN34" s="713"/>
      <c r="CEO34" s="713"/>
      <c r="CEP34" s="713"/>
      <c r="CEQ34" s="713"/>
      <c r="CER34" s="713"/>
      <c r="CES34" s="713"/>
      <c r="CET34" s="713"/>
      <c r="CEU34" s="713"/>
      <c r="CEV34" s="713"/>
      <c r="CEW34" s="713"/>
      <c r="CEX34" s="713"/>
      <c r="CEY34" s="713"/>
      <c r="CEZ34" s="713"/>
      <c r="CFA34" s="713"/>
      <c r="CFB34" s="713"/>
      <c r="CFC34" s="713"/>
      <c r="CFD34" s="713"/>
      <c r="CFE34" s="713"/>
      <c r="CFF34" s="713"/>
      <c r="CFG34" s="713"/>
      <c r="CFH34" s="713"/>
      <c r="CFI34" s="713"/>
      <c r="CFJ34" s="713"/>
      <c r="CFK34" s="713"/>
      <c r="CFL34" s="713"/>
      <c r="CFM34" s="713"/>
      <c r="CFN34" s="713"/>
      <c r="CFO34" s="713"/>
      <c r="CFP34" s="713"/>
      <c r="CFQ34" s="713"/>
      <c r="CFR34" s="713"/>
      <c r="CFS34" s="713"/>
      <c r="CFT34" s="713"/>
      <c r="CFU34" s="713"/>
      <c r="CFV34" s="713"/>
      <c r="CFW34" s="713"/>
      <c r="CFX34" s="713"/>
      <c r="CFY34" s="713"/>
      <c r="CFZ34" s="713"/>
      <c r="CGA34" s="713"/>
      <c r="CGB34" s="713"/>
      <c r="CGC34" s="713"/>
      <c r="CGD34" s="713"/>
      <c r="CGE34" s="713"/>
      <c r="CGF34" s="713"/>
      <c r="CGG34" s="713"/>
      <c r="CGH34" s="713"/>
      <c r="CGI34" s="713"/>
      <c r="CGJ34" s="713"/>
      <c r="CGK34" s="713"/>
      <c r="CGL34" s="713"/>
      <c r="CGM34" s="713"/>
      <c r="CGN34" s="713"/>
      <c r="CGO34" s="713"/>
      <c r="CGP34" s="713"/>
      <c r="CGQ34" s="713"/>
      <c r="CGR34" s="713"/>
      <c r="CGS34" s="713"/>
      <c r="CGT34" s="713"/>
      <c r="CGU34" s="713"/>
      <c r="CGV34" s="713"/>
      <c r="CGW34" s="713"/>
      <c r="CGX34" s="713"/>
      <c r="CGY34" s="713"/>
      <c r="CGZ34" s="713"/>
      <c r="CHA34" s="713"/>
      <c r="CHB34" s="713"/>
      <c r="CHC34" s="713"/>
      <c r="CHD34" s="713"/>
      <c r="CHE34" s="713"/>
      <c r="CHF34" s="713"/>
      <c r="CHG34" s="713"/>
      <c r="CHH34" s="713"/>
      <c r="CHI34" s="713"/>
      <c r="CHJ34" s="713"/>
      <c r="CHK34" s="713"/>
      <c r="CHL34" s="713"/>
      <c r="CHM34" s="713"/>
      <c r="CHN34" s="713"/>
      <c r="CHO34" s="713"/>
      <c r="CHP34" s="713"/>
      <c r="CHQ34" s="713"/>
      <c r="CHR34" s="713"/>
      <c r="CHS34" s="713"/>
      <c r="CHT34" s="713"/>
      <c r="CHU34" s="713"/>
      <c r="CHV34" s="713"/>
      <c r="CHW34" s="713"/>
      <c r="CHX34" s="713"/>
      <c r="CHY34" s="713"/>
      <c r="CHZ34" s="713"/>
      <c r="CIA34" s="713"/>
      <c r="CIB34" s="713"/>
      <c r="CIC34" s="713"/>
      <c r="CID34" s="713"/>
      <c r="CIE34" s="713"/>
      <c r="CIF34" s="713"/>
      <c r="CIG34" s="713"/>
      <c r="CIH34" s="713"/>
      <c r="CII34" s="713"/>
      <c r="CIJ34" s="713"/>
      <c r="CIK34" s="713"/>
      <c r="CIL34" s="713"/>
      <c r="CIM34" s="713"/>
      <c r="CIN34" s="713"/>
      <c r="CIO34" s="713"/>
      <c r="CIP34" s="713"/>
      <c r="CIQ34" s="713"/>
      <c r="CIR34" s="713"/>
      <c r="CIS34" s="713"/>
      <c r="CIT34" s="713"/>
      <c r="CIU34" s="713"/>
      <c r="CIV34" s="713"/>
      <c r="CIW34" s="713"/>
      <c r="CIX34" s="713"/>
      <c r="CIY34" s="713"/>
      <c r="CIZ34" s="713"/>
      <c r="CJA34" s="713"/>
      <c r="CJB34" s="713"/>
      <c r="CJC34" s="713"/>
      <c r="CJD34" s="713"/>
      <c r="CJE34" s="713"/>
      <c r="CJF34" s="713"/>
      <c r="CJG34" s="713"/>
      <c r="CJH34" s="713"/>
      <c r="CJI34" s="713"/>
      <c r="CJJ34" s="713"/>
      <c r="CJK34" s="713"/>
      <c r="CJL34" s="713"/>
      <c r="CJM34" s="713"/>
      <c r="CJN34" s="713"/>
      <c r="CJO34" s="713"/>
      <c r="CJP34" s="713"/>
      <c r="CJQ34" s="713"/>
      <c r="CJR34" s="713"/>
      <c r="CJS34" s="713"/>
      <c r="CJT34" s="713"/>
      <c r="CJU34" s="713"/>
      <c r="CJV34" s="713"/>
      <c r="CJW34" s="713"/>
      <c r="CJX34" s="713"/>
      <c r="CJY34" s="713"/>
      <c r="CJZ34" s="713"/>
      <c r="CKA34" s="713"/>
      <c r="CKB34" s="713"/>
      <c r="CKC34" s="713"/>
      <c r="CKD34" s="713"/>
      <c r="CKE34" s="713"/>
      <c r="CKF34" s="713"/>
      <c r="CKG34" s="713"/>
      <c r="CKH34" s="713"/>
      <c r="CKI34" s="713"/>
      <c r="CKJ34" s="713"/>
      <c r="CKK34" s="713"/>
      <c r="CKL34" s="713"/>
      <c r="CKM34" s="713"/>
      <c r="CKN34" s="713"/>
      <c r="CKO34" s="713"/>
      <c r="CKP34" s="713"/>
      <c r="CKQ34" s="713"/>
      <c r="CKR34" s="713"/>
      <c r="CKS34" s="713"/>
      <c r="CKT34" s="713"/>
      <c r="CKU34" s="713"/>
      <c r="CKV34" s="713"/>
      <c r="CKW34" s="713"/>
      <c r="CKX34" s="713"/>
      <c r="CKY34" s="713"/>
      <c r="CKZ34" s="713"/>
      <c r="CLA34" s="713"/>
      <c r="CLB34" s="713"/>
      <c r="CLC34" s="713"/>
      <c r="CLD34" s="713"/>
      <c r="CLE34" s="713"/>
      <c r="CLF34" s="713"/>
      <c r="CLG34" s="713"/>
      <c r="CLH34" s="713"/>
      <c r="CLI34" s="713"/>
      <c r="CLJ34" s="713"/>
      <c r="CLK34" s="713"/>
      <c r="CLL34" s="713"/>
      <c r="CLM34" s="713"/>
      <c r="CLN34" s="713"/>
      <c r="CLO34" s="713"/>
      <c r="CLP34" s="713"/>
      <c r="CLQ34" s="713"/>
      <c r="CLR34" s="713"/>
      <c r="CLS34" s="713"/>
      <c r="CLT34" s="713"/>
      <c r="CLU34" s="713"/>
      <c r="CLV34" s="713"/>
      <c r="CLW34" s="713"/>
      <c r="CLX34" s="713"/>
      <c r="CLY34" s="713"/>
      <c r="CLZ34" s="713"/>
      <c r="CMA34" s="713"/>
      <c r="CMB34" s="713"/>
      <c r="CMC34" s="713"/>
      <c r="CMD34" s="713"/>
      <c r="CME34" s="713"/>
      <c r="CMF34" s="713"/>
      <c r="CMG34" s="713"/>
      <c r="CMH34" s="713"/>
      <c r="CMI34" s="713"/>
      <c r="CMJ34" s="713"/>
      <c r="CMK34" s="713"/>
      <c r="CML34" s="713"/>
      <c r="CMM34" s="713"/>
      <c r="CMN34" s="713"/>
      <c r="CMO34" s="713"/>
      <c r="CMP34" s="713"/>
      <c r="CMQ34" s="713"/>
      <c r="CMR34" s="713"/>
      <c r="CMS34" s="713"/>
      <c r="CMT34" s="713"/>
      <c r="CMU34" s="713"/>
      <c r="CMV34" s="713"/>
      <c r="CMW34" s="713"/>
      <c r="CMX34" s="713"/>
      <c r="CMY34" s="713"/>
      <c r="CMZ34" s="713"/>
      <c r="CNA34" s="713"/>
      <c r="CNB34" s="713"/>
      <c r="CNC34" s="713"/>
      <c r="CND34" s="713"/>
      <c r="CNE34" s="713"/>
      <c r="CNF34" s="713"/>
      <c r="CNG34" s="713"/>
      <c r="CNH34" s="713"/>
      <c r="CNI34" s="713"/>
      <c r="CNJ34" s="713"/>
      <c r="CNK34" s="713"/>
      <c r="CNL34" s="713"/>
      <c r="CNM34" s="713"/>
      <c r="CNN34" s="713"/>
      <c r="CNO34" s="713"/>
      <c r="CNP34" s="713"/>
      <c r="CNQ34" s="713"/>
      <c r="CNR34" s="713"/>
      <c r="CNS34" s="713"/>
      <c r="CNT34" s="713"/>
      <c r="CNU34" s="713"/>
      <c r="CNV34" s="713"/>
      <c r="CNW34" s="713"/>
      <c r="CNX34" s="713"/>
      <c r="CNY34" s="713"/>
      <c r="CNZ34" s="713"/>
      <c r="COA34" s="713"/>
      <c r="COB34" s="713"/>
      <c r="COC34" s="713"/>
      <c r="COD34" s="713"/>
      <c r="COE34" s="713"/>
      <c r="COF34" s="713"/>
      <c r="COG34" s="713"/>
      <c r="COH34" s="713"/>
      <c r="COI34" s="713"/>
      <c r="COJ34" s="713"/>
      <c r="COK34" s="713"/>
      <c r="COL34" s="713"/>
      <c r="COM34" s="713"/>
      <c r="CON34" s="713"/>
      <c r="COO34" s="713"/>
      <c r="COP34" s="713"/>
      <c r="COQ34" s="713"/>
      <c r="COR34" s="713"/>
      <c r="COS34" s="713"/>
      <c r="COT34" s="713"/>
      <c r="COU34" s="713"/>
      <c r="COV34" s="713"/>
      <c r="COW34" s="713"/>
      <c r="COX34" s="713"/>
      <c r="COY34" s="713"/>
      <c r="COZ34" s="713"/>
      <c r="CPA34" s="713"/>
      <c r="CPB34" s="713"/>
      <c r="CPC34" s="713"/>
      <c r="CPD34" s="713"/>
      <c r="CPE34" s="713"/>
      <c r="CPF34" s="713"/>
      <c r="CPG34" s="713"/>
      <c r="CPH34" s="713"/>
      <c r="CPI34" s="713"/>
      <c r="CPJ34" s="713"/>
      <c r="CPK34" s="713"/>
      <c r="CPL34" s="713"/>
      <c r="CPM34" s="713"/>
      <c r="CPN34" s="713"/>
      <c r="CPO34" s="713"/>
      <c r="CPP34" s="713"/>
      <c r="CPQ34" s="713"/>
      <c r="CPR34" s="713"/>
      <c r="CPS34" s="713"/>
      <c r="CPT34" s="713"/>
      <c r="CPU34" s="713"/>
      <c r="CPV34" s="713"/>
      <c r="CPW34" s="713"/>
      <c r="CPX34" s="713"/>
      <c r="CPY34" s="713"/>
      <c r="CPZ34" s="713"/>
      <c r="CQA34" s="713"/>
      <c r="CQB34" s="713"/>
      <c r="CQC34" s="713"/>
      <c r="CQD34" s="713"/>
      <c r="CQE34" s="713"/>
      <c r="CQF34" s="713"/>
      <c r="CQG34" s="713"/>
      <c r="CQH34" s="713"/>
      <c r="CQI34" s="713"/>
      <c r="CQJ34" s="713"/>
      <c r="CQK34" s="713"/>
      <c r="CQL34" s="713"/>
      <c r="CQM34" s="713"/>
      <c r="CQN34" s="713"/>
      <c r="CQO34" s="713"/>
      <c r="CQP34" s="713"/>
      <c r="CQQ34" s="713"/>
      <c r="CQR34" s="713"/>
      <c r="CQS34" s="713"/>
      <c r="CQT34" s="713"/>
      <c r="CQU34" s="713"/>
      <c r="CQV34" s="713"/>
      <c r="CQW34" s="713"/>
      <c r="CQX34" s="713"/>
      <c r="CQY34" s="713"/>
      <c r="CQZ34" s="713"/>
      <c r="CRA34" s="713"/>
      <c r="CRB34" s="713"/>
      <c r="CRC34" s="713"/>
      <c r="CRD34" s="713"/>
      <c r="CRE34" s="713"/>
      <c r="CRF34" s="713"/>
      <c r="CRG34" s="713"/>
      <c r="CRH34" s="713"/>
      <c r="CRI34" s="713"/>
      <c r="CRJ34" s="713"/>
      <c r="CRK34" s="713"/>
      <c r="CRL34" s="713"/>
      <c r="CRM34" s="713"/>
      <c r="CRN34" s="713"/>
      <c r="CRO34" s="713"/>
      <c r="CRP34" s="713"/>
      <c r="CRQ34" s="713"/>
      <c r="CRR34" s="713"/>
      <c r="CRS34" s="713"/>
      <c r="CRT34" s="713"/>
      <c r="CRU34" s="713"/>
      <c r="CRV34" s="713"/>
      <c r="CRW34" s="713"/>
      <c r="CRX34" s="713"/>
      <c r="CRY34" s="713"/>
      <c r="CRZ34" s="713"/>
      <c r="CSA34" s="713"/>
      <c r="CSB34" s="713"/>
      <c r="CSC34" s="713"/>
      <c r="CSD34" s="713"/>
      <c r="CSE34" s="713"/>
      <c r="CSF34" s="713"/>
      <c r="CSG34" s="713"/>
      <c r="CSH34" s="713"/>
      <c r="CSI34" s="713"/>
      <c r="CSJ34" s="713"/>
      <c r="CSK34" s="713"/>
      <c r="CSL34" s="713"/>
      <c r="CSM34" s="713"/>
      <c r="CSN34" s="713"/>
      <c r="CSO34" s="713"/>
      <c r="CSP34" s="713"/>
      <c r="CSQ34" s="713"/>
      <c r="CSR34" s="713"/>
      <c r="CSS34" s="713"/>
      <c r="CST34" s="713"/>
      <c r="CSU34" s="713"/>
      <c r="CSV34" s="713"/>
      <c r="CSW34" s="713"/>
      <c r="CSX34" s="713"/>
      <c r="CSY34" s="713"/>
      <c r="CSZ34" s="713"/>
      <c r="CTA34" s="713"/>
      <c r="CTB34" s="713"/>
      <c r="CTC34" s="713"/>
      <c r="CTD34" s="713"/>
      <c r="CTE34" s="713"/>
      <c r="CTF34" s="713"/>
      <c r="CTG34" s="713"/>
      <c r="CTH34" s="713"/>
      <c r="CTI34" s="713"/>
      <c r="CTJ34" s="713"/>
      <c r="CTK34" s="713"/>
      <c r="CTL34" s="713"/>
      <c r="CTM34" s="713"/>
      <c r="CTN34" s="713"/>
      <c r="CTO34" s="713"/>
      <c r="CTP34" s="713"/>
      <c r="CTQ34" s="713"/>
      <c r="CTR34" s="713"/>
      <c r="CTS34" s="713"/>
      <c r="CTT34" s="713"/>
      <c r="CTU34" s="713"/>
      <c r="CTV34" s="713"/>
      <c r="CTW34" s="713"/>
      <c r="CTX34" s="713"/>
      <c r="CTY34" s="713"/>
      <c r="CTZ34" s="713"/>
      <c r="CUA34" s="713"/>
      <c r="CUB34" s="713"/>
      <c r="CUC34" s="713"/>
      <c r="CUD34" s="713"/>
      <c r="CUE34" s="713"/>
      <c r="CUF34" s="713"/>
      <c r="CUG34" s="713"/>
      <c r="CUH34" s="713"/>
      <c r="CUI34" s="713"/>
      <c r="CUJ34" s="713"/>
      <c r="CUK34" s="713"/>
      <c r="CUL34" s="713"/>
      <c r="CUM34" s="713"/>
      <c r="CUN34" s="713"/>
      <c r="CUO34" s="713"/>
      <c r="CUP34" s="713"/>
      <c r="CUQ34" s="713"/>
      <c r="CUR34" s="713"/>
      <c r="CUS34" s="713"/>
      <c r="CUT34" s="713"/>
      <c r="CUU34" s="713"/>
      <c r="CUV34" s="713"/>
      <c r="CUW34" s="713"/>
      <c r="CUX34" s="713"/>
      <c r="CUY34" s="713"/>
      <c r="CUZ34" s="713"/>
      <c r="CVA34" s="713"/>
      <c r="CVB34" s="713"/>
      <c r="CVC34" s="713"/>
      <c r="CVD34" s="713"/>
      <c r="CVE34" s="713"/>
      <c r="CVF34" s="713"/>
      <c r="CVG34" s="713"/>
      <c r="CVH34" s="713"/>
      <c r="CVI34" s="713"/>
      <c r="CVJ34" s="713"/>
      <c r="CVK34" s="713"/>
      <c r="CVL34" s="713"/>
      <c r="CVM34" s="713"/>
      <c r="CVN34" s="713"/>
      <c r="CVO34" s="713"/>
      <c r="CVP34" s="713"/>
      <c r="CVQ34" s="713"/>
      <c r="CVR34" s="713"/>
      <c r="CVS34" s="713"/>
      <c r="CVT34" s="713"/>
      <c r="CVU34" s="713"/>
      <c r="CVV34" s="713"/>
      <c r="CVW34" s="713"/>
      <c r="CVX34" s="713"/>
      <c r="CVY34" s="713"/>
      <c r="CVZ34" s="713"/>
      <c r="CWA34" s="713"/>
      <c r="CWB34" s="713"/>
      <c r="CWC34" s="713"/>
      <c r="CWD34" s="713"/>
      <c r="CWE34" s="713"/>
      <c r="CWF34" s="713"/>
      <c r="CWG34" s="713"/>
      <c r="CWH34" s="713"/>
      <c r="CWI34" s="713"/>
      <c r="CWJ34" s="713"/>
      <c r="CWK34" s="713"/>
      <c r="CWL34" s="713"/>
      <c r="CWM34" s="713"/>
      <c r="CWN34" s="713"/>
      <c r="CWO34" s="713"/>
      <c r="CWP34" s="713"/>
      <c r="CWQ34" s="713"/>
      <c r="CWR34" s="713"/>
      <c r="CWS34" s="713"/>
      <c r="CWT34" s="713"/>
      <c r="CWU34" s="713"/>
      <c r="CWV34" s="713"/>
      <c r="CWW34" s="713"/>
      <c r="CWX34" s="713"/>
      <c r="CWY34" s="713"/>
      <c r="CWZ34" s="713"/>
      <c r="CXA34" s="713"/>
      <c r="CXB34" s="713"/>
      <c r="CXC34" s="713"/>
      <c r="CXD34" s="713"/>
      <c r="CXE34" s="713"/>
      <c r="CXF34" s="713"/>
      <c r="CXG34" s="713"/>
      <c r="CXH34" s="713"/>
      <c r="CXI34" s="713"/>
      <c r="CXJ34" s="713"/>
      <c r="CXK34" s="713"/>
      <c r="CXL34" s="713"/>
      <c r="CXM34" s="713"/>
      <c r="CXN34" s="713"/>
      <c r="CXO34" s="713"/>
      <c r="CXP34" s="713"/>
      <c r="CXQ34" s="713"/>
      <c r="CXR34" s="713"/>
      <c r="CXS34" s="713"/>
      <c r="CXT34" s="713"/>
      <c r="CXU34" s="713"/>
      <c r="CXV34" s="713"/>
      <c r="CXW34" s="713"/>
      <c r="CXX34" s="713"/>
      <c r="CXY34" s="713"/>
      <c r="CXZ34" s="713"/>
      <c r="CYA34" s="713"/>
      <c r="CYB34" s="713"/>
      <c r="CYC34" s="713"/>
      <c r="CYD34" s="713"/>
      <c r="CYE34" s="713"/>
      <c r="CYF34" s="713"/>
      <c r="CYG34" s="713"/>
      <c r="CYH34" s="713"/>
      <c r="CYI34" s="713"/>
      <c r="CYJ34" s="713"/>
      <c r="CYK34" s="713"/>
      <c r="CYL34" s="713"/>
      <c r="CYM34" s="713"/>
      <c r="CYN34" s="713"/>
      <c r="CYO34" s="713"/>
      <c r="CYP34" s="713"/>
      <c r="CYQ34" s="713"/>
      <c r="CYR34" s="713"/>
      <c r="CYS34" s="713"/>
      <c r="CYT34" s="713"/>
      <c r="CYU34" s="713"/>
      <c r="CYV34" s="713"/>
      <c r="CYW34" s="713"/>
      <c r="CYX34" s="713"/>
      <c r="CYY34" s="713"/>
      <c r="CYZ34" s="713"/>
      <c r="CZA34" s="713"/>
      <c r="CZB34" s="713"/>
      <c r="CZC34" s="713"/>
      <c r="CZD34" s="713"/>
      <c r="CZE34" s="713"/>
      <c r="CZF34" s="713"/>
      <c r="CZG34" s="713"/>
      <c r="CZH34" s="713"/>
      <c r="CZI34" s="713"/>
      <c r="CZJ34" s="713"/>
      <c r="CZK34" s="713"/>
      <c r="CZL34" s="713"/>
      <c r="CZM34" s="713"/>
      <c r="CZN34" s="713"/>
      <c r="CZO34" s="713"/>
      <c r="CZP34" s="713"/>
      <c r="CZQ34" s="713"/>
      <c r="CZR34" s="713"/>
      <c r="CZS34" s="713"/>
      <c r="CZT34" s="713"/>
      <c r="CZU34" s="713"/>
      <c r="CZV34" s="713"/>
      <c r="CZW34" s="713"/>
      <c r="CZX34" s="713"/>
      <c r="CZY34" s="713"/>
      <c r="CZZ34" s="713"/>
      <c r="DAA34" s="713"/>
      <c r="DAB34" s="713"/>
      <c r="DAC34" s="713"/>
      <c r="DAD34" s="713"/>
      <c r="DAE34" s="713"/>
      <c r="DAF34" s="713"/>
      <c r="DAG34" s="713"/>
      <c r="DAH34" s="713"/>
      <c r="DAI34" s="713"/>
      <c r="DAJ34" s="713"/>
      <c r="DAK34" s="713"/>
      <c r="DAL34" s="713"/>
      <c r="DAM34" s="713"/>
      <c r="DAN34" s="713"/>
      <c r="DAO34" s="713"/>
      <c r="DAP34" s="713"/>
      <c r="DAQ34" s="713"/>
      <c r="DAR34" s="713"/>
      <c r="DAS34" s="713"/>
      <c r="DAT34" s="713"/>
      <c r="DAU34" s="713"/>
      <c r="DAV34" s="713"/>
      <c r="DAW34" s="713"/>
      <c r="DAX34" s="713"/>
      <c r="DAY34" s="713"/>
      <c r="DAZ34" s="713"/>
      <c r="DBA34" s="713"/>
      <c r="DBB34" s="713"/>
      <c r="DBC34" s="713"/>
      <c r="DBD34" s="713"/>
      <c r="DBE34" s="713"/>
      <c r="DBF34" s="713"/>
      <c r="DBG34" s="713"/>
      <c r="DBH34" s="713"/>
      <c r="DBI34" s="713"/>
      <c r="DBJ34" s="713"/>
      <c r="DBK34" s="713"/>
      <c r="DBL34" s="713"/>
      <c r="DBM34" s="713"/>
      <c r="DBN34" s="713"/>
      <c r="DBO34" s="713"/>
      <c r="DBP34" s="713"/>
      <c r="DBQ34" s="713"/>
      <c r="DBR34" s="713"/>
      <c r="DBS34" s="713"/>
      <c r="DBT34" s="713"/>
      <c r="DBU34" s="713"/>
      <c r="DBV34" s="713"/>
      <c r="DBW34" s="713"/>
      <c r="DBX34" s="713"/>
      <c r="DBY34" s="713"/>
      <c r="DBZ34" s="713"/>
      <c r="DCA34" s="713"/>
      <c r="DCB34" s="713"/>
      <c r="DCC34" s="713"/>
      <c r="DCD34" s="713"/>
      <c r="DCE34" s="713"/>
      <c r="DCF34" s="713"/>
      <c r="DCG34" s="713"/>
      <c r="DCH34" s="713"/>
      <c r="DCI34" s="713"/>
      <c r="DCJ34" s="713"/>
      <c r="DCK34" s="713"/>
      <c r="DCL34" s="713"/>
      <c r="DCM34" s="713"/>
      <c r="DCN34" s="713"/>
      <c r="DCO34" s="713"/>
      <c r="DCP34" s="713"/>
      <c r="DCQ34" s="713"/>
      <c r="DCR34" s="713"/>
      <c r="DCS34" s="713"/>
      <c r="DCT34" s="713"/>
      <c r="DCU34" s="713"/>
      <c r="DCV34" s="713"/>
      <c r="DCW34" s="713"/>
      <c r="DCX34" s="713"/>
      <c r="DCY34" s="713"/>
      <c r="DCZ34" s="713"/>
      <c r="DDA34" s="713"/>
      <c r="DDB34" s="713"/>
      <c r="DDC34" s="713"/>
      <c r="DDD34" s="713"/>
      <c r="DDE34" s="713"/>
      <c r="DDF34" s="713"/>
      <c r="DDG34" s="713"/>
      <c r="DDH34" s="713"/>
      <c r="DDI34" s="713"/>
      <c r="DDJ34" s="713"/>
      <c r="DDK34" s="713"/>
      <c r="DDL34" s="713"/>
      <c r="DDM34" s="713"/>
      <c r="DDN34" s="713"/>
      <c r="DDO34" s="713"/>
      <c r="DDP34" s="713"/>
      <c r="DDQ34" s="713"/>
      <c r="DDR34" s="713"/>
      <c r="DDS34" s="713"/>
      <c r="DDT34" s="713"/>
      <c r="DDU34" s="713"/>
      <c r="DDV34" s="713"/>
      <c r="DDW34" s="713"/>
      <c r="DDX34" s="713"/>
      <c r="DDY34" s="713"/>
      <c r="DDZ34" s="713"/>
      <c r="DEA34" s="713"/>
      <c r="DEB34" s="713"/>
      <c r="DEC34" s="713"/>
      <c r="DED34" s="713"/>
      <c r="DEE34" s="713"/>
      <c r="DEF34" s="713"/>
      <c r="DEG34" s="713"/>
      <c r="DEH34" s="713"/>
      <c r="DEI34" s="713"/>
      <c r="DEJ34" s="713"/>
      <c r="DEK34" s="713"/>
      <c r="DEL34" s="713"/>
      <c r="DEM34" s="713"/>
      <c r="DEN34" s="713"/>
      <c r="DEO34" s="713"/>
      <c r="DEP34" s="713"/>
      <c r="DEQ34" s="713"/>
      <c r="DER34" s="713"/>
      <c r="DES34" s="713"/>
      <c r="DET34" s="713"/>
      <c r="DEU34" s="713"/>
      <c r="DEV34" s="713"/>
      <c r="DEW34" s="713"/>
      <c r="DEX34" s="713"/>
      <c r="DEY34" s="713"/>
      <c r="DEZ34" s="713"/>
      <c r="DFA34" s="713"/>
      <c r="DFB34" s="713"/>
      <c r="DFC34" s="713"/>
      <c r="DFD34" s="713"/>
      <c r="DFE34" s="713"/>
      <c r="DFF34" s="713"/>
      <c r="DFG34" s="713"/>
      <c r="DFH34" s="713"/>
      <c r="DFI34" s="713"/>
      <c r="DFJ34" s="713"/>
      <c r="DFK34" s="713"/>
      <c r="DFL34" s="713"/>
      <c r="DFM34" s="713"/>
      <c r="DFN34" s="713"/>
      <c r="DFO34" s="713"/>
      <c r="DFP34" s="713"/>
      <c r="DFQ34" s="713"/>
      <c r="DFR34" s="713"/>
      <c r="DFS34" s="713"/>
      <c r="DFT34" s="713"/>
      <c r="DFU34" s="713"/>
      <c r="DFV34" s="713"/>
      <c r="DFW34" s="713"/>
      <c r="DFX34" s="713"/>
      <c r="DFY34" s="713"/>
      <c r="DFZ34" s="713"/>
      <c r="DGA34" s="713"/>
      <c r="DGB34" s="713"/>
      <c r="DGC34" s="713"/>
      <c r="DGD34" s="713"/>
      <c r="DGE34" s="713"/>
      <c r="DGF34" s="713"/>
      <c r="DGG34" s="713"/>
      <c r="DGH34" s="713"/>
      <c r="DGI34" s="713"/>
      <c r="DGJ34" s="713"/>
      <c r="DGK34" s="713"/>
      <c r="DGL34" s="713"/>
      <c r="DGM34" s="713"/>
      <c r="DGN34" s="713"/>
      <c r="DGO34" s="713"/>
      <c r="DGP34" s="713"/>
      <c r="DGQ34" s="713"/>
      <c r="DGR34" s="713"/>
      <c r="DGS34" s="713"/>
      <c r="DGT34" s="713"/>
      <c r="DGU34" s="713"/>
      <c r="DGV34" s="713"/>
      <c r="DGW34" s="713"/>
      <c r="DGX34" s="713"/>
      <c r="DGY34" s="713"/>
      <c r="DGZ34" s="713"/>
      <c r="DHA34" s="713"/>
      <c r="DHB34" s="713"/>
      <c r="DHC34" s="713"/>
      <c r="DHD34" s="713"/>
      <c r="DHE34" s="713"/>
      <c r="DHF34" s="713"/>
      <c r="DHG34" s="713"/>
      <c r="DHH34" s="713"/>
      <c r="DHI34" s="713"/>
      <c r="DHJ34" s="713"/>
      <c r="DHK34" s="713"/>
      <c r="DHL34" s="713"/>
      <c r="DHM34" s="713"/>
      <c r="DHN34" s="713"/>
      <c r="DHO34" s="713"/>
      <c r="DHP34" s="713"/>
      <c r="DHQ34" s="713"/>
      <c r="DHR34" s="713"/>
      <c r="DHS34" s="713"/>
      <c r="DHT34" s="713"/>
      <c r="DHU34" s="713"/>
      <c r="DHV34" s="713"/>
      <c r="DHW34" s="713"/>
      <c r="DHX34" s="713"/>
      <c r="DHY34" s="713"/>
      <c r="DHZ34" s="713"/>
      <c r="DIA34" s="713"/>
      <c r="DIB34" s="713"/>
      <c r="DIC34" s="713"/>
      <c r="DID34" s="713"/>
      <c r="DIE34" s="713"/>
      <c r="DIF34" s="713"/>
      <c r="DIG34" s="713"/>
      <c r="DIH34" s="713"/>
      <c r="DII34" s="713"/>
      <c r="DIJ34" s="713"/>
      <c r="DIK34" s="713"/>
      <c r="DIL34" s="713"/>
      <c r="DIM34" s="713"/>
      <c r="DIN34" s="713"/>
      <c r="DIO34" s="713"/>
      <c r="DIP34" s="713"/>
      <c r="DIQ34" s="713"/>
      <c r="DIR34" s="713"/>
      <c r="DIS34" s="713"/>
      <c r="DIT34" s="713"/>
      <c r="DIU34" s="713"/>
      <c r="DIV34" s="713"/>
      <c r="DIW34" s="713"/>
      <c r="DIX34" s="713"/>
      <c r="DIY34" s="713"/>
      <c r="DIZ34" s="713"/>
      <c r="DJA34" s="713"/>
      <c r="DJB34" s="713"/>
      <c r="DJC34" s="713"/>
      <c r="DJD34" s="713"/>
      <c r="DJE34" s="713"/>
      <c r="DJF34" s="713"/>
      <c r="DJG34" s="713"/>
      <c r="DJH34" s="713"/>
      <c r="DJI34" s="713"/>
      <c r="DJJ34" s="713"/>
      <c r="DJK34" s="713"/>
      <c r="DJL34" s="713"/>
      <c r="DJM34" s="713"/>
      <c r="DJN34" s="713"/>
      <c r="DJO34" s="713"/>
      <c r="DJP34" s="713"/>
      <c r="DJQ34" s="713"/>
      <c r="DJR34" s="713"/>
      <c r="DJS34" s="713"/>
      <c r="DJT34" s="713"/>
      <c r="DJU34" s="713"/>
      <c r="DJV34" s="713"/>
      <c r="DJW34" s="713"/>
      <c r="DJX34" s="713"/>
      <c r="DJY34" s="713"/>
      <c r="DJZ34" s="713"/>
      <c r="DKA34" s="713"/>
      <c r="DKB34" s="713"/>
      <c r="DKC34" s="713"/>
      <c r="DKD34" s="713"/>
      <c r="DKE34" s="713"/>
      <c r="DKF34" s="713"/>
      <c r="DKG34" s="713"/>
      <c r="DKH34" s="713"/>
      <c r="DKI34" s="713"/>
      <c r="DKJ34" s="713"/>
      <c r="DKK34" s="713"/>
      <c r="DKL34" s="713"/>
      <c r="DKM34" s="713"/>
      <c r="DKN34" s="713"/>
      <c r="DKO34" s="713"/>
      <c r="DKP34" s="713"/>
      <c r="DKQ34" s="713"/>
      <c r="DKR34" s="713"/>
      <c r="DKS34" s="713"/>
      <c r="DKT34" s="713"/>
      <c r="DKU34" s="713"/>
      <c r="DKV34" s="713"/>
      <c r="DKW34" s="713"/>
      <c r="DKX34" s="713"/>
      <c r="DKY34" s="713"/>
      <c r="DKZ34" s="713"/>
      <c r="DLA34" s="713"/>
      <c r="DLB34" s="713"/>
      <c r="DLC34" s="713"/>
      <c r="DLD34" s="713"/>
      <c r="DLE34" s="713"/>
      <c r="DLF34" s="713"/>
      <c r="DLG34" s="713"/>
      <c r="DLH34" s="713"/>
      <c r="DLI34" s="713"/>
      <c r="DLJ34" s="713"/>
      <c r="DLK34" s="713"/>
      <c r="DLL34" s="713"/>
      <c r="DLM34" s="713"/>
      <c r="DLN34" s="713"/>
      <c r="DLO34" s="713"/>
      <c r="DLP34" s="713"/>
      <c r="DLQ34" s="713"/>
      <c r="DLR34" s="713"/>
      <c r="DLS34" s="713"/>
      <c r="DLT34" s="713"/>
      <c r="DLU34" s="713"/>
      <c r="DLV34" s="713"/>
      <c r="DLW34" s="713"/>
      <c r="DLX34" s="713"/>
      <c r="DLY34" s="713"/>
      <c r="DLZ34" s="713"/>
      <c r="DMA34" s="713"/>
      <c r="DMB34" s="713"/>
      <c r="DMC34" s="713"/>
      <c r="DMD34" s="713"/>
      <c r="DME34" s="713"/>
      <c r="DMF34" s="713"/>
      <c r="DMG34" s="713"/>
      <c r="DMH34" s="713"/>
      <c r="DMI34" s="713"/>
      <c r="DMJ34" s="713"/>
      <c r="DMK34" s="713"/>
      <c r="DML34" s="713"/>
      <c r="DMM34" s="713"/>
      <c r="DMN34" s="713"/>
      <c r="DMO34" s="713"/>
      <c r="DMP34" s="713"/>
      <c r="DMQ34" s="713"/>
      <c r="DMR34" s="713"/>
      <c r="DMS34" s="713"/>
      <c r="DMT34" s="713"/>
      <c r="DMU34" s="713"/>
      <c r="DMV34" s="713"/>
      <c r="DMW34" s="713"/>
      <c r="DMX34" s="713"/>
      <c r="DMY34" s="713"/>
      <c r="DMZ34" s="713"/>
      <c r="DNA34" s="713"/>
      <c r="DNB34" s="713"/>
      <c r="DNC34" s="713"/>
      <c r="DND34" s="713"/>
      <c r="DNE34" s="713"/>
      <c r="DNF34" s="713"/>
      <c r="DNG34" s="713"/>
      <c r="DNH34" s="713"/>
      <c r="DNI34" s="713"/>
      <c r="DNJ34" s="713"/>
      <c r="DNK34" s="713"/>
      <c r="DNL34" s="713"/>
      <c r="DNM34" s="713"/>
      <c r="DNN34" s="713"/>
      <c r="DNO34" s="713"/>
      <c r="DNP34" s="713"/>
      <c r="DNQ34" s="713"/>
      <c r="DNR34" s="713"/>
      <c r="DNS34" s="713"/>
      <c r="DNT34" s="713"/>
      <c r="DNU34" s="713"/>
      <c r="DNV34" s="713"/>
      <c r="DNW34" s="713"/>
      <c r="DNX34" s="713"/>
      <c r="DNY34" s="713"/>
      <c r="DNZ34" s="713"/>
      <c r="DOA34" s="713"/>
      <c r="DOB34" s="713"/>
      <c r="DOC34" s="713"/>
      <c r="DOD34" s="713"/>
      <c r="DOE34" s="713"/>
      <c r="DOF34" s="713"/>
      <c r="DOG34" s="713"/>
      <c r="DOH34" s="713"/>
      <c r="DOI34" s="713"/>
      <c r="DOJ34" s="713"/>
      <c r="DOK34" s="713"/>
      <c r="DOL34" s="713"/>
      <c r="DOM34" s="713"/>
      <c r="DON34" s="713"/>
      <c r="DOO34" s="713"/>
      <c r="DOP34" s="713"/>
      <c r="DOQ34" s="713"/>
      <c r="DOR34" s="713"/>
      <c r="DOS34" s="713"/>
      <c r="DOT34" s="713"/>
      <c r="DOU34" s="713"/>
      <c r="DOV34" s="713"/>
      <c r="DOW34" s="713"/>
      <c r="DOX34" s="713"/>
      <c r="DOY34" s="713"/>
      <c r="DOZ34" s="713"/>
      <c r="DPA34" s="713"/>
      <c r="DPB34" s="713"/>
      <c r="DPC34" s="713"/>
      <c r="DPD34" s="713"/>
      <c r="DPE34" s="713"/>
      <c r="DPF34" s="713"/>
      <c r="DPG34" s="713"/>
      <c r="DPH34" s="713"/>
      <c r="DPI34" s="713"/>
      <c r="DPJ34" s="713"/>
      <c r="DPK34" s="713"/>
      <c r="DPL34" s="713"/>
      <c r="DPM34" s="713"/>
      <c r="DPN34" s="713"/>
      <c r="DPO34" s="713"/>
      <c r="DPP34" s="713"/>
      <c r="DPQ34" s="713"/>
      <c r="DPR34" s="713"/>
      <c r="DPS34" s="713"/>
      <c r="DPT34" s="713"/>
      <c r="DPU34" s="713"/>
      <c r="DPV34" s="713"/>
      <c r="DPW34" s="713"/>
      <c r="DPX34" s="713"/>
      <c r="DPY34" s="713"/>
      <c r="DPZ34" s="713"/>
      <c r="DQA34" s="713"/>
      <c r="DQB34" s="713"/>
      <c r="DQC34" s="713"/>
      <c r="DQD34" s="713"/>
      <c r="DQE34" s="713"/>
      <c r="DQF34" s="713"/>
      <c r="DQG34" s="713"/>
      <c r="DQH34" s="713"/>
      <c r="DQI34" s="713"/>
      <c r="DQJ34" s="713"/>
      <c r="DQK34" s="713"/>
      <c r="DQL34" s="713"/>
      <c r="DQM34" s="713"/>
      <c r="DQN34" s="713"/>
      <c r="DQO34" s="713"/>
      <c r="DQP34" s="713"/>
      <c r="DQQ34" s="713"/>
      <c r="DQR34" s="713"/>
      <c r="DQS34" s="713"/>
      <c r="DQT34" s="713"/>
      <c r="DQU34" s="713"/>
      <c r="DQV34" s="713"/>
      <c r="DQW34" s="713"/>
      <c r="DQX34" s="713"/>
      <c r="DQY34" s="713"/>
      <c r="DQZ34" s="713"/>
      <c r="DRA34" s="713"/>
      <c r="DRB34" s="713"/>
      <c r="DRC34" s="713"/>
      <c r="DRD34" s="713"/>
      <c r="DRE34" s="713"/>
      <c r="DRF34" s="713"/>
      <c r="DRG34" s="713"/>
      <c r="DRH34" s="713"/>
      <c r="DRI34" s="713"/>
      <c r="DRJ34" s="713"/>
      <c r="DRK34" s="713"/>
      <c r="DRL34" s="713"/>
      <c r="DRM34" s="713"/>
      <c r="DRN34" s="713"/>
      <c r="DRO34" s="713"/>
      <c r="DRP34" s="713"/>
      <c r="DRQ34" s="713"/>
      <c r="DRR34" s="713"/>
      <c r="DRS34" s="713"/>
      <c r="DRT34" s="713"/>
      <c r="DRU34" s="713"/>
      <c r="DRV34" s="713"/>
      <c r="DRW34" s="713"/>
      <c r="DRX34" s="713"/>
      <c r="DRY34" s="713"/>
      <c r="DRZ34" s="713"/>
      <c r="DSA34" s="713"/>
      <c r="DSB34" s="713"/>
      <c r="DSC34" s="713"/>
      <c r="DSD34" s="713"/>
      <c r="DSE34" s="713"/>
      <c r="DSF34" s="713"/>
      <c r="DSG34" s="713"/>
      <c r="DSH34" s="713"/>
      <c r="DSI34" s="713"/>
      <c r="DSJ34" s="713"/>
      <c r="DSK34" s="713"/>
      <c r="DSL34" s="713"/>
      <c r="DSM34" s="713"/>
      <c r="DSN34" s="713"/>
      <c r="DSO34" s="713"/>
      <c r="DSP34" s="713"/>
      <c r="DSQ34" s="713"/>
      <c r="DSR34" s="713"/>
      <c r="DSS34" s="713"/>
      <c r="DST34" s="713"/>
      <c r="DSU34" s="713"/>
      <c r="DSV34" s="713"/>
      <c r="DSW34" s="713"/>
      <c r="DSX34" s="713"/>
      <c r="DSY34" s="713"/>
      <c r="DSZ34" s="713"/>
      <c r="DTA34" s="713"/>
      <c r="DTB34" s="713"/>
      <c r="DTC34" s="713"/>
      <c r="DTD34" s="713"/>
      <c r="DTE34" s="713"/>
      <c r="DTF34" s="713"/>
      <c r="DTG34" s="713"/>
      <c r="DTH34" s="713"/>
      <c r="DTI34" s="713"/>
      <c r="DTJ34" s="713"/>
      <c r="DTK34" s="713"/>
      <c r="DTL34" s="713"/>
      <c r="DTM34" s="713"/>
      <c r="DTN34" s="713"/>
      <c r="DTO34" s="713"/>
      <c r="DTP34" s="713"/>
      <c r="DTQ34" s="713"/>
      <c r="DTR34" s="713"/>
      <c r="DTS34" s="713"/>
      <c r="DTT34" s="713"/>
      <c r="DTU34" s="713"/>
      <c r="DTV34" s="713"/>
      <c r="DTW34" s="713"/>
      <c r="DTX34" s="713"/>
      <c r="DTY34" s="713"/>
      <c r="DTZ34" s="713"/>
      <c r="DUA34" s="713"/>
      <c r="DUB34" s="713"/>
      <c r="DUC34" s="713"/>
      <c r="DUD34" s="713"/>
      <c r="DUE34" s="713"/>
      <c r="DUF34" s="713"/>
      <c r="DUG34" s="713"/>
      <c r="DUH34" s="713"/>
      <c r="DUI34" s="713"/>
      <c r="DUJ34" s="713"/>
      <c r="DUK34" s="713"/>
      <c r="DUL34" s="713"/>
      <c r="DUM34" s="713"/>
      <c r="DUN34" s="713"/>
      <c r="DUO34" s="713"/>
      <c r="DUP34" s="713"/>
      <c r="DUQ34" s="713"/>
      <c r="DUR34" s="713"/>
      <c r="DUS34" s="713"/>
      <c r="DUT34" s="713"/>
      <c r="DUU34" s="713"/>
      <c r="DUV34" s="713"/>
      <c r="DUW34" s="713"/>
      <c r="DUX34" s="713"/>
      <c r="DUY34" s="713"/>
      <c r="DUZ34" s="713"/>
      <c r="DVA34" s="713"/>
      <c r="DVB34" s="713"/>
      <c r="DVC34" s="713"/>
      <c r="DVD34" s="713"/>
      <c r="DVE34" s="713"/>
      <c r="DVF34" s="713"/>
      <c r="DVG34" s="713"/>
      <c r="DVH34" s="713"/>
      <c r="DVI34" s="713"/>
      <c r="DVJ34" s="713"/>
      <c r="DVK34" s="713"/>
      <c r="DVL34" s="713"/>
      <c r="DVM34" s="713"/>
      <c r="DVN34" s="713"/>
      <c r="DVO34" s="713"/>
      <c r="DVP34" s="713"/>
      <c r="DVQ34" s="713"/>
      <c r="DVR34" s="713"/>
      <c r="DVS34" s="713"/>
      <c r="DVT34" s="713"/>
      <c r="DVU34" s="713"/>
      <c r="DVV34" s="713"/>
      <c r="DVW34" s="713"/>
      <c r="DVX34" s="713"/>
      <c r="DVY34" s="713"/>
      <c r="DVZ34" s="713"/>
      <c r="DWA34" s="713"/>
      <c r="DWB34" s="713"/>
      <c r="DWC34" s="713"/>
      <c r="DWD34" s="713"/>
      <c r="DWE34" s="713"/>
      <c r="DWF34" s="713"/>
      <c r="DWG34" s="713"/>
      <c r="DWH34" s="713"/>
      <c r="DWI34" s="713"/>
      <c r="DWJ34" s="713"/>
      <c r="DWK34" s="713"/>
      <c r="DWL34" s="713"/>
      <c r="DWM34" s="713"/>
      <c r="DWN34" s="713"/>
      <c r="DWO34" s="713"/>
      <c r="DWP34" s="713"/>
      <c r="DWQ34" s="713"/>
      <c r="DWR34" s="713"/>
      <c r="DWS34" s="713"/>
      <c r="DWT34" s="713"/>
      <c r="DWU34" s="713"/>
      <c r="DWV34" s="713"/>
      <c r="DWW34" s="713"/>
      <c r="DWX34" s="713"/>
      <c r="DWY34" s="713"/>
      <c r="DWZ34" s="713"/>
      <c r="DXA34" s="713"/>
      <c r="DXB34" s="713"/>
      <c r="DXC34" s="713"/>
      <c r="DXD34" s="713"/>
      <c r="DXE34" s="713"/>
      <c r="DXF34" s="713"/>
      <c r="DXG34" s="713"/>
      <c r="DXH34" s="713"/>
      <c r="DXI34" s="713"/>
      <c r="DXJ34" s="713"/>
      <c r="DXK34" s="713"/>
      <c r="DXL34" s="713"/>
      <c r="DXM34" s="713"/>
      <c r="DXN34" s="713"/>
      <c r="DXO34" s="713"/>
      <c r="DXP34" s="713"/>
      <c r="DXQ34" s="713"/>
      <c r="DXR34" s="713"/>
      <c r="DXS34" s="713"/>
      <c r="DXT34" s="713"/>
      <c r="DXU34" s="713"/>
      <c r="DXV34" s="713"/>
      <c r="DXW34" s="713"/>
      <c r="DXX34" s="713"/>
      <c r="DXY34" s="713"/>
      <c r="DXZ34" s="713"/>
      <c r="DYA34" s="713"/>
      <c r="DYB34" s="713"/>
      <c r="DYC34" s="713"/>
      <c r="DYD34" s="713"/>
      <c r="DYE34" s="713"/>
      <c r="DYF34" s="713"/>
      <c r="DYG34" s="713"/>
      <c r="DYH34" s="713"/>
      <c r="DYI34" s="713"/>
      <c r="DYJ34" s="713"/>
      <c r="DYK34" s="713"/>
      <c r="DYL34" s="713"/>
      <c r="DYM34" s="713"/>
      <c r="DYN34" s="713"/>
      <c r="DYO34" s="713"/>
      <c r="DYP34" s="713"/>
      <c r="DYQ34" s="713"/>
      <c r="DYR34" s="713"/>
      <c r="DYS34" s="713"/>
      <c r="DYT34" s="713"/>
      <c r="DYU34" s="713"/>
      <c r="DYV34" s="713"/>
      <c r="DYW34" s="713"/>
      <c r="DYX34" s="713"/>
      <c r="DYY34" s="713"/>
      <c r="DYZ34" s="713"/>
      <c r="DZA34" s="713"/>
      <c r="DZB34" s="713"/>
      <c r="DZC34" s="713"/>
      <c r="DZD34" s="713"/>
      <c r="DZE34" s="713"/>
      <c r="DZF34" s="713"/>
      <c r="DZG34" s="713"/>
      <c r="DZH34" s="713"/>
      <c r="DZI34" s="713"/>
      <c r="DZJ34" s="713"/>
      <c r="DZK34" s="713"/>
      <c r="DZL34" s="713"/>
      <c r="DZM34" s="713"/>
      <c r="DZN34" s="713"/>
      <c r="DZO34" s="713"/>
      <c r="DZP34" s="713"/>
      <c r="DZQ34" s="713"/>
      <c r="DZR34" s="713"/>
      <c r="DZS34" s="713"/>
      <c r="DZT34" s="713"/>
      <c r="DZU34" s="713"/>
      <c r="DZV34" s="713"/>
      <c r="DZW34" s="713"/>
      <c r="DZX34" s="713"/>
      <c r="DZY34" s="713"/>
      <c r="DZZ34" s="713"/>
      <c r="EAA34" s="713"/>
      <c r="EAB34" s="713"/>
      <c r="EAC34" s="713"/>
      <c r="EAD34" s="713"/>
      <c r="EAE34" s="713"/>
      <c r="EAF34" s="713"/>
      <c r="EAG34" s="713"/>
      <c r="EAH34" s="713"/>
      <c r="EAI34" s="713"/>
      <c r="EAJ34" s="713"/>
      <c r="EAK34" s="713"/>
      <c r="EAL34" s="713"/>
      <c r="EAM34" s="713"/>
      <c r="EAN34" s="713"/>
      <c r="EAO34" s="713"/>
      <c r="EAP34" s="713"/>
      <c r="EAQ34" s="713"/>
      <c r="EAR34" s="713"/>
      <c r="EAS34" s="713"/>
      <c r="EAT34" s="713"/>
      <c r="EAU34" s="713"/>
      <c r="EAV34" s="713"/>
      <c r="EAW34" s="713"/>
      <c r="EAX34" s="713"/>
      <c r="EAY34" s="713"/>
      <c r="EAZ34" s="713"/>
      <c r="EBA34" s="713"/>
      <c r="EBB34" s="713"/>
      <c r="EBC34" s="713"/>
      <c r="EBD34" s="713"/>
      <c r="EBE34" s="713"/>
      <c r="EBF34" s="713"/>
      <c r="EBG34" s="713"/>
      <c r="EBH34" s="713"/>
      <c r="EBI34" s="713"/>
      <c r="EBJ34" s="713"/>
      <c r="EBK34" s="713"/>
      <c r="EBL34" s="713"/>
      <c r="EBM34" s="713"/>
      <c r="EBN34" s="713"/>
      <c r="EBO34" s="713"/>
      <c r="EBP34" s="713"/>
      <c r="EBQ34" s="713"/>
      <c r="EBR34" s="713"/>
      <c r="EBS34" s="713"/>
      <c r="EBT34" s="713"/>
      <c r="EBU34" s="713"/>
      <c r="EBV34" s="713"/>
      <c r="EBW34" s="713"/>
      <c r="EBX34" s="713"/>
      <c r="EBY34" s="713"/>
      <c r="EBZ34" s="713"/>
      <c r="ECA34" s="713"/>
      <c r="ECB34" s="713"/>
      <c r="ECC34" s="713"/>
      <c r="ECD34" s="713"/>
      <c r="ECE34" s="713"/>
      <c r="ECF34" s="713"/>
      <c r="ECG34" s="713"/>
      <c r="ECH34" s="713"/>
      <c r="ECI34" s="713"/>
      <c r="ECJ34" s="713"/>
      <c r="ECK34" s="713"/>
      <c r="ECL34" s="713"/>
      <c r="ECM34" s="713"/>
      <c r="ECN34" s="713"/>
      <c r="ECO34" s="713"/>
      <c r="ECP34" s="713"/>
      <c r="ECQ34" s="713"/>
      <c r="ECR34" s="713"/>
      <c r="ECS34" s="713"/>
      <c r="ECT34" s="713"/>
      <c r="ECU34" s="713"/>
      <c r="ECV34" s="713"/>
      <c r="ECW34" s="713"/>
      <c r="ECX34" s="713"/>
      <c r="ECY34" s="713"/>
      <c r="ECZ34" s="713"/>
      <c r="EDA34" s="713"/>
      <c r="EDB34" s="713"/>
      <c r="EDC34" s="713"/>
      <c r="EDD34" s="713"/>
      <c r="EDE34" s="713"/>
      <c r="EDF34" s="713"/>
      <c r="EDG34" s="713"/>
      <c r="EDH34" s="713"/>
      <c r="EDI34" s="713"/>
      <c r="EDJ34" s="713"/>
      <c r="EDK34" s="713"/>
      <c r="EDL34" s="713"/>
      <c r="EDM34" s="713"/>
      <c r="EDN34" s="713"/>
      <c r="EDO34" s="713"/>
      <c r="EDP34" s="713"/>
      <c r="EDQ34" s="713"/>
      <c r="EDR34" s="713"/>
      <c r="EDS34" s="713"/>
      <c r="EDT34" s="713"/>
      <c r="EDU34" s="713"/>
      <c r="EDV34" s="713"/>
      <c r="EDW34" s="713"/>
      <c r="EDX34" s="713"/>
      <c r="EDY34" s="713"/>
      <c r="EDZ34" s="713"/>
      <c r="EEA34" s="713"/>
      <c r="EEB34" s="713"/>
      <c r="EEC34" s="713"/>
      <c r="EED34" s="713"/>
      <c r="EEE34" s="713"/>
      <c r="EEF34" s="713"/>
      <c r="EEG34" s="713"/>
      <c r="EEH34" s="713"/>
      <c r="EEI34" s="713"/>
      <c r="EEJ34" s="713"/>
      <c r="EEK34" s="713"/>
      <c r="EEL34" s="713"/>
      <c r="EEM34" s="713"/>
      <c r="EEN34" s="713"/>
      <c r="EEO34" s="713"/>
      <c r="EEP34" s="713"/>
      <c r="EEQ34" s="713"/>
      <c r="EER34" s="713"/>
      <c r="EES34" s="713"/>
      <c r="EET34" s="713"/>
      <c r="EEU34" s="713"/>
      <c r="EEV34" s="713"/>
      <c r="EEW34" s="713"/>
      <c r="EEX34" s="713"/>
      <c r="EEY34" s="713"/>
      <c r="EEZ34" s="713"/>
      <c r="EFA34" s="713"/>
      <c r="EFB34" s="713"/>
      <c r="EFC34" s="713"/>
      <c r="EFD34" s="713"/>
      <c r="EFE34" s="713"/>
      <c r="EFF34" s="713"/>
      <c r="EFG34" s="713"/>
      <c r="EFH34" s="713"/>
      <c r="EFI34" s="713"/>
      <c r="EFJ34" s="713"/>
      <c r="EFK34" s="713"/>
      <c r="EFL34" s="713"/>
      <c r="EFM34" s="713"/>
      <c r="EFN34" s="713"/>
      <c r="EFO34" s="713"/>
      <c r="EFP34" s="713"/>
      <c r="EFQ34" s="713"/>
      <c r="EFR34" s="713"/>
      <c r="EFS34" s="713"/>
      <c r="EFT34" s="713"/>
      <c r="EFU34" s="713"/>
      <c r="EFV34" s="713"/>
      <c r="EFW34" s="713"/>
      <c r="EFX34" s="713"/>
      <c r="EFY34" s="713"/>
      <c r="EFZ34" s="713"/>
      <c r="EGA34" s="713"/>
      <c r="EGB34" s="713"/>
      <c r="EGC34" s="713"/>
      <c r="EGD34" s="713"/>
      <c r="EGE34" s="713"/>
      <c r="EGF34" s="713"/>
      <c r="EGG34" s="713"/>
      <c r="EGH34" s="713"/>
      <c r="EGI34" s="713"/>
      <c r="EGJ34" s="713"/>
      <c r="EGK34" s="713"/>
      <c r="EGL34" s="713"/>
      <c r="EGM34" s="713"/>
      <c r="EGN34" s="713"/>
      <c r="EGO34" s="713"/>
      <c r="EGP34" s="713"/>
      <c r="EGQ34" s="713"/>
      <c r="EGR34" s="713"/>
      <c r="EGS34" s="713"/>
      <c r="EGT34" s="713"/>
      <c r="EGU34" s="713"/>
      <c r="EGV34" s="713"/>
      <c r="EGW34" s="713"/>
      <c r="EGX34" s="713"/>
      <c r="EGY34" s="713"/>
      <c r="EGZ34" s="713"/>
      <c r="EHA34" s="713"/>
      <c r="EHB34" s="713"/>
      <c r="EHC34" s="713"/>
      <c r="EHD34" s="713"/>
      <c r="EHE34" s="713"/>
      <c r="EHF34" s="713"/>
      <c r="EHG34" s="713"/>
      <c r="EHH34" s="713"/>
      <c r="EHI34" s="713"/>
      <c r="EHJ34" s="713"/>
      <c r="EHK34" s="713"/>
      <c r="EHL34" s="713"/>
      <c r="EHM34" s="713"/>
      <c r="EHN34" s="713"/>
      <c r="EHO34" s="713"/>
      <c r="EHP34" s="713"/>
      <c r="EHQ34" s="713"/>
      <c r="EHR34" s="713"/>
      <c r="EHS34" s="713"/>
      <c r="EHT34" s="713"/>
      <c r="EHU34" s="713"/>
      <c r="EHV34" s="713"/>
      <c r="EHW34" s="713"/>
      <c r="EHX34" s="713"/>
      <c r="EHY34" s="713"/>
      <c r="EHZ34" s="713"/>
      <c r="EIA34" s="713"/>
      <c r="EIB34" s="713"/>
      <c r="EIC34" s="713"/>
      <c r="EID34" s="713"/>
      <c r="EIE34" s="713"/>
      <c r="EIF34" s="713"/>
      <c r="EIG34" s="713"/>
      <c r="EIH34" s="713"/>
      <c r="EII34" s="713"/>
      <c r="EIJ34" s="713"/>
      <c r="EIK34" s="713"/>
      <c r="EIL34" s="713"/>
      <c r="EIM34" s="713"/>
      <c r="EIN34" s="713"/>
      <c r="EIO34" s="713"/>
      <c r="EIP34" s="713"/>
      <c r="EIQ34" s="713"/>
      <c r="EIR34" s="713"/>
      <c r="EIS34" s="713"/>
      <c r="EIT34" s="713"/>
      <c r="EIU34" s="713"/>
      <c r="EIV34" s="713"/>
      <c r="EIW34" s="713"/>
      <c r="EIX34" s="713"/>
      <c r="EIY34" s="713"/>
      <c r="EIZ34" s="713"/>
      <c r="EJA34" s="713"/>
      <c r="EJB34" s="713"/>
      <c r="EJC34" s="713"/>
      <c r="EJD34" s="713"/>
      <c r="EJE34" s="713"/>
      <c r="EJF34" s="713"/>
      <c r="EJG34" s="713"/>
      <c r="EJH34" s="713"/>
      <c r="EJI34" s="713"/>
      <c r="EJJ34" s="713"/>
      <c r="EJK34" s="713"/>
      <c r="EJL34" s="713"/>
      <c r="EJM34" s="713"/>
      <c r="EJN34" s="713"/>
      <c r="EJO34" s="713"/>
      <c r="EJP34" s="713"/>
      <c r="EJQ34" s="713"/>
      <c r="EJR34" s="713"/>
      <c r="EJS34" s="713"/>
      <c r="EJT34" s="713"/>
      <c r="EJU34" s="713"/>
      <c r="EJV34" s="713"/>
      <c r="EJW34" s="713"/>
      <c r="EJX34" s="713"/>
      <c r="EJY34" s="713"/>
      <c r="EJZ34" s="713"/>
      <c r="EKA34" s="713"/>
      <c r="EKB34" s="713"/>
      <c r="EKC34" s="713"/>
      <c r="EKD34" s="713"/>
      <c r="EKE34" s="713"/>
      <c r="EKF34" s="713"/>
      <c r="EKG34" s="713"/>
      <c r="EKH34" s="713"/>
      <c r="EKI34" s="713"/>
      <c r="EKJ34" s="713"/>
      <c r="EKK34" s="713"/>
      <c r="EKL34" s="713"/>
      <c r="EKM34" s="713"/>
      <c r="EKN34" s="713"/>
      <c r="EKO34" s="713"/>
      <c r="EKP34" s="713"/>
      <c r="EKQ34" s="713"/>
      <c r="EKR34" s="713"/>
      <c r="EKS34" s="713"/>
      <c r="EKT34" s="713"/>
      <c r="EKU34" s="713"/>
      <c r="EKV34" s="713"/>
      <c r="EKW34" s="713"/>
      <c r="EKX34" s="713"/>
      <c r="EKY34" s="713"/>
      <c r="EKZ34" s="713"/>
      <c r="ELA34" s="713"/>
      <c r="ELB34" s="713"/>
      <c r="ELC34" s="713"/>
      <c r="ELD34" s="713"/>
      <c r="ELE34" s="713"/>
      <c r="ELF34" s="713"/>
      <c r="ELG34" s="713"/>
      <c r="ELH34" s="713"/>
      <c r="ELI34" s="713"/>
      <c r="ELJ34" s="713"/>
      <c r="ELK34" s="713"/>
      <c r="ELL34" s="713"/>
      <c r="ELM34" s="713"/>
      <c r="ELN34" s="713"/>
      <c r="ELO34" s="713"/>
      <c r="ELP34" s="713"/>
      <c r="ELQ34" s="713"/>
      <c r="ELR34" s="713"/>
      <c r="ELS34" s="713"/>
      <c r="ELT34" s="713"/>
      <c r="ELU34" s="713"/>
      <c r="ELV34" s="713"/>
      <c r="ELW34" s="713"/>
      <c r="ELX34" s="713"/>
      <c r="ELY34" s="713"/>
      <c r="ELZ34" s="713"/>
      <c r="EMA34" s="713"/>
      <c r="EMB34" s="713"/>
      <c r="EMC34" s="713"/>
      <c r="EMD34" s="713"/>
      <c r="EME34" s="713"/>
      <c r="EMF34" s="713"/>
      <c r="EMG34" s="713"/>
      <c r="EMH34" s="713"/>
      <c r="EMI34" s="713"/>
      <c r="EMJ34" s="713"/>
      <c r="EMK34" s="713"/>
      <c r="EML34" s="713"/>
      <c r="EMM34" s="713"/>
      <c r="EMN34" s="713"/>
      <c r="EMO34" s="713"/>
      <c r="EMP34" s="713"/>
      <c r="EMQ34" s="713"/>
      <c r="EMR34" s="713"/>
      <c r="EMS34" s="713"/>
      <c r="EMT34" s="713"/>
      <c r="EMU34" s="713"/>
      <c r="EMV34" s="713"/>
      <c r="EMW34" s="713"/>
      <c r="EMX34" s="713"/>
      <c r="EMY34" s="713"/>
      <c r="EMZ34" s="713"/>
      <c r="ENA34" s="713"/>
      <c r="ENB34" s="713"/>
      <c r="ENC34" s="713"/>
      <c r="END34" s="713"/>
      <c r="ENE34" s="713"/>
      <c r="ENF34" s="713"/>
      <c r="ENG34" s="713"/>
      <c r="ENH34" s="713"/>
      <c r="ENI34" s="713"/>
      <c r="ENJ34" s="713"/>
      <c r="ENK34" s="713"/>
      <c r="ENL34" s="713"/>
      <c r="ENM34" s="713"/>
      <c r="ENN34" s="713"/>
      <c r="ENO34" s="713"/>
      <c r="ENP34" s="713"/>
      <c r="ENQ34" s="713"/>
      <c r="ENR34" s="713"/>
      <c r="ENS34" s="713"/>
      <c r="ENT34" s="713"/>
      <c r="ENU34" s="713"/>
      <c r="ENV34" s="713"/>
      <c r="ENW34" s="713"/>
      <c r="ENX34" s="713"/>
      <c r="ENY34" s="713"/>
      <c r="ENZ34" s="713"/>
      <c r="EOA34" s="713"/>
      <c r="EOB34" s="713"/>
      <c r="EOC34" s="713"/>
      <c r="EOD34" s="713"/>
      <c r="EOE34" s="713"/>
      <c r="EOF34" s="713"/>
      <c r="EOG34" s="713"/>
      <c r="EOH34" s="713"/>
      <c r="EOI34" s="713"/>
      <c r="EOJ34" s="713"/>
      <c r="EOK34" s="713"/>
      <c r="EOL34" s="713"/>
      <c r="EOM34" s="713"/>
      <c r="EON34" s="713"/>
      <c r="EOO34" s="713"/>
      <c r="EOP34" s="713"/>
      <c r="EOQ34" s="713"/>
      <c r="EOR34" s="713"/>
      <c r="EOS34" s="713"/>
      <c r="EOT34" s="713"/>
      <c r="EOU34" s="713"/>
      <c r="EOV34" s="713"/>
      <c r="EOW34" s="713"/>
      <c r="EOX34" s="713"/>
      <c r="EOY34" s="713"/>
      <c r="EOZ34" s="713"/>
      <c r="EPA34" s="713"/>
      <c r="EPB34" s="713"/>
      <c r="EPC34" s="713"/>
      <c r="EPD34" s="713"/>
      <c r="EPE34" s="713"/>
      <c r="EPF34" s="713"/>
      <c r="EPG34" s="713"/>
      <c r="EPH34" s="713"/>
      <c r="EPI34" s="713"/>
      <c r="EPJ34" s="713"/>
      <c r="EPK34" s="713"/>
      <c r="EPL34" s="713"/>
      <c r="EPM34" s="713"/>
      <c r="EPN34" s="713"/>
      <c r="EPO34" s="713"/>
      <c r="EPP34" s="713"/>
      <c r="EPQ34" s="713"/>
      <c r="EPR34" s="713"/>
      <c r="EPS34" s="713"/>
      <c r="EPT34" s="713"/>
      <c r="EPU34" s="713"/>
      <c r="EPV34" s="713"/>
      <c r="EPW34" s="713"/>
      <c r="EPX34" s="713"/>
      <c r="EPY34" s="713"/>
      <c r="EPZ34" s="713"/>
      <c r="EQA34" s="713"/>
      <c r="EQB34" s="713"/>
      <c r="EQC34" s="713"/>
      <c r="EQD34" s="713"/>
      <c r="EQE34" s="713"/>
      <c r="EQF34" s="713"/>
      <c r="EQG34" s="713"/>
      <c r="EQH34" s="713"/>
      <c r="EQI34" s="713"/>
      <c r="EQJ34" s="713"/>
      <c r="EQK34" s="713"/>
      <c r="EQL34" s="713"/>
      <c r="EQM34" s="713"/>
      <c r="EQN34" s="713"/>
      <c r="EQO34" s="713"/>
      <c r="EQP34" s="713"/>
      <c r="EQQ34" s="713"/>
      <c r="EQR34" s="713"/>
      <c r="EQS34" s="713"/>
      <c r="EQT34" s="713"/>
      <c r="EQU34" s="713"/>
      <c r="EQV34" s="713"/>
      <c r="EQW34" s="713"/>
      <c r="EQX34" s="713"/>
      <c r="EQY34" s="713"/>
      <c r="EQZ34" s="713"/>
      <c r="ERA34" s="713"/>
      <c r="ERB34" s="713"/>
      <c r="ERC34" s="713"/>
      <c r="ERD34" s="713"/>
      <c r="ERE34" s="713"/>
      <c r="ERF34" s="713"/>
      <c r="ERG34" s="713"/>
      <c r="ERH34" s="713"/>
      <c r="ERI34" s="713"/>
      <c r="ERJ34" s="713"/>
      <c r="ERK34" s="713"/>
      <c r="ERL34" s="713"/>
      <c r="ERM34" s="713"/>
      <c r="ERN34" s="713"/>
      <c r="ERO34" s="713"/>
      <c r="ERP34" s="713"/>
      <c r="ERQ34" s="713"/>
      <c r="ERR34" s="713"/>
      <c r="ERS34" s="713"/>
      <c r="ERT34" s="713"/>
      <c r="ERU34" s="713"/>
      <c r="ERV34" s="713"/>
      <c r="ERW34" s="713"/>
      <c r="ERX34" s="713"/>
      <c r="ERY34" s="713"/>
      <c r="ERZ34" s="713"/>
      <c r="ESA34" s="713"/>
      <c r="ESB34" s="713"/>
      <c r="ESC34" s="713"/>
      <c r="ESD34" s="713"/>
      <c r="ESE34" s="713"/>
      <c r="ESF34" s="713"/>
      <c r="ESG34" s="713"/>
      <c r="ESH34" s="713"/>
      <c r="ESI34" s="713"/>
      <c r="ESJ34" s="713"/>
      <c r="ESK34" s="713"/>
      <c r="ESL34" s="713"/>
      <c r="ESM34" s="713"/>
      <c r="ESN34" s="713"/>
      <c r="ESO34" s="713"/>
      <c r="ESP34" s="713"/>
      <c r="ESQ34" s="713"/>
      <c r="ESR34" s="713"/>
      <c r="ESS34" s="713"/>
      <c r="EST34" s="713"/>
      <c r="ESU34" s="713"/>
      <c r="ESV34" s="713"/>
      <c r="ESW34" s="713"/>
      <c r="ESX34" s="713"/>
      <c r="ESY34" s="713"/>
      <c r="ESZ34" s="713"/>
      <c r="ETA34" s="713"/>
      <c r="ETB34" s="713"/>
      <c r="ETC34" s="713"/>
      <c r="ETD34" s="713"/>
      <c r="ETE34" s="713"/>
      <c r="ETF34" s="713"/>
      <c r="ETG34" s="713"/>
      <c r="ETH34" s="713"/>
      <c r="ETI34" s="713"/>
      <c r="ETJ34" s="713"/>
      <c r="ETK34" s="713"/>
      <c r="ETL34" s="713"/>
      <c r="ETM34" s="713"/>
      <c r="ETN34" s="713"/>
      <c r="ETO34" s="713"/>
      <c r="ETP34" s="713"/>
      <c r="ETQ34" s="713"/>
      <c r="ETR34" s="713"/>
      <c r="ETS34" s="713"/>
      <c r="ETT34" s="713"/>
      <c r="ETU34" s="713"/>
      <c r="ETV34" s="713"/>
      <c r="ETW34" s="713"/>
      <c r="ETX34" s="713"/>
      <c r="ETY34" s="713"/>
      <c r="ETZ34" s="713"/>
      <c r="EUA34" s="713"/>
      <c r="EUB34" s="713"/>
      <c r="EUC34" s="713"/>
      <c r="EUD34" s="713"/>
      <c r="EUE34" s="713"/>
      <c r="EUF34" s="713"/>
      <c r="EUG34" s="713"/>
      <c r="EUH34" s="713"/>
      <c r="EUI34" s="713"/>
      <c r="EUJ34" s="713"/>
      <c r="EUK34" s="713"/>
      <c r="EUL34" s="713"/>
      <c r="EUM34" s="713"/>
      <c r="EUN34" s="713"/>
      <c r="EUO34" s="713"/>
      <c r="EUP34" s="713"/>
      <c r="EUQ34" s="713"/>
      <c r="EUR34" s="713"/>
      <c r="EUS34" s="713"/>
      <c r="EUT34" s="713"/>
      <c r="EUU34" s="713"/>
      <c r="EUV34" s="713"/>
      <c r="EUW34" s="713"/>
      <c r="EUX34" s="713"/>
      <c r="EUY34" s="713"/>
      <c r="EUZ34" s="713"/>
      <c r="EVA34" s="713"/>
      <c r="EVB34" s="713"/>
      <c r="EVC34" s="713"/>
      <c r="EVD34" s="713"/>
      <c r="EVE34" s="713"/>
      <c r="EVF34" s="713"/>
      <c r="EVG34" s="713"/>
      <c r="EVH34" s="713"/>
      <c r="EVI34" s="713"/>
      <c r="EVJ34" s="713"/>
      <c r="EVK34" s="713"/>
      <c r="EVL34" s="713"/>
      <c r="EVM34" s="713"/>
      <c r="EVN34" s="713"/>
      <c r="EVO34" s="713"/>
      <c r="EVP34" s="713"/>
      <c r="EVQ34" s="713"/>
      <c r="EVR34" s="713"/>
      <c r="EVS34" s="713"/>
      <c r="EVT34" s="713"/>
      <c r="EVU34" s="713"/>
      <c r="EVV34" s="713"/>
      <c r="EVW34" s="713"/>
      <c r="EVX34" s="713"/>
      <c r="EVY34" s="713"/>
      <c r="EVZ34" s="713"/>
      <c r="EWA34" s="713"/>
      <c r="EWB34" s="713"/>
      <c r="EWC34" s="713"/>
      <c r="EWD34" s="713"/>
      <c r="EWE34" s="713"/>
      <c r="EWF34" s="713"/>
      <c r="EWG34" s="713"/>
      <c r="EWH34" s="713"/>
      <c r="EWI34" s="713"/>
      <c r="EWJ34" s="713"/>
      <c r="EWK34" s="713"/>
      <c r="EWL34" s="713"/>
      <c r="EWM34" s="713"/>
      <c r="EWN34" s="713"/>
      <c r="EWO34" s="713"/>
      <c r="EWP34" s="713"/>
      <c r="EWQ34" s="713"/>
      <c r="EWR34" s="713"/>
      <c r="EWS34" s="713"/>
      <c r="EWT34" s="713"/>
      <c r="EWU34" s="713"/>
      <c r="EWV34" s="713"/>
      <c r="EWW34" s="713"/>
      <c r="EWX34" s="713"/>
      <c r="EWY34" s="713"/>
      <c r="EWZ34" s="713"/>
      <c r="EXA34" s="713"/>
      <c r="EXB34" s="713"/>
      <c r="EXC34" s="713"/>
      <c r="EXD34" s="713"/>
      <c r="EXE34" s="713"/>
      <c r="EXF34" s="713"/>
      <c r="EXG34" s="713"/>
      <c r="EXH34" s="713"/>
      <c r="EXI34" s="713"/>
      <c r="EXJ34" s="713"/>
      <c r="EXK34" s="713"/>
      <c r="EXL34" s="713"/>
      <c r="EXM34" s="713"/>
      <c r="EXN34" s="713"/>
      <c r="EXO34" s="713"/>
      <c r="EXP34" s="713"/>
      <c r="EXQ34" s="713"/>
      <c r="EXR34" s="713"/>
      <c r="EXS34" s="713"/>
      <c r="EXT34" s="713"/>
      <c r="EXU34" s="713"/>
      <c r="EXV34" s="713"/>
      <c r="EXW34" s="713"/>
      <c r="EXX34" s="713"/>
      <c r="EXY34" s="713"/>
      <c r="EXZ34" s="713"/>
      <c r="EYA34" s="713"/>
      <c r="EYB34" s="713"/>
      <c r="EYC34" s="713"/>
      <c r="EYD34" s="713"/>
      <c r="EYE34" s="713"/>
      <c r="EYF34" s="713"/>
      <c r="EYG34" s="713"/>
      <c r="EYH34" s="713"/>
      <c r="EYI34" s="713"/>
      <c r="EYJ34" s="713"/>
      <c r="EYK34" s="713"/>
      <c r="EYL34" s="713"/>
      <c r="EYM34" s="713"/>
      <c r="EYN34" s="713"/>
      <c r="EYO34" s="713"/>
      <c r="EYP34" s="713"/>
      <c r="EYQ34" s="713"/>
      <c r="EYR34" s="713"/>
      <c r="EYS34" s="713"/>
      <c r="EYT34" s="713"/>
      <c r="EYU34" s="713"/>
      <c r="EYV34" s="713"/>
      <c r="EYW34" s="713"/>
      <c r="EYX34" s="713"/>
      <c r="EYY34" s="713"/>
      <c r="EYZ34" s="713"/>
      <c r="EZA34" s="713"/>
      <c r="EZB34" s="713"/>
      <c r="EZC34" s="713"/>
      <c r="EZD34" s="713"/>
      <c r="EZE34" s="713"/>
      <c r="EZF34" s="713"/>
      <c r="EZG34" s="713"/>
      <c r="EZH34" s="713"/>
      <c r="EZI34" s="713"/>
      <c r="EZJ34" s="713"/>
      <c r="EZK34" s="713"/>
      <c r="EZL34" s="713"/>
      <c r="EZM34" s="713"/>
      <c r="EZN34" s="713"/>
      <c r="EZO34" s="713"/>
      <c r="EZP34" s="713"/>
      <c r="EZQ34" s="713"/>
      <c r="EZR34" s="713"/>
      <c r="EZS34" s="713"/>
      <c r="EZT34" s="713"/>
      <c r="EZU34" s="713"/>
      <c r="EZV34" s="713"/>
      <c r="EZW34" s="713"/>
      <c r="EZX34" s="713"/>
      <c r="EZY34" s="713"/>
      <c r="EZZ34" s="713"/>
      <c r="FAA34" s="713"/>
      <c r="FAB34" s="713"/>
      <c r="FAC34" s="713"/>
      <c r="FAD34" s="713"/>
      <c r="FAE34" s="713"/>
      <c r="FAF34" s="713"/>
      <c r="FAG34" s="713"/>
      <c r="FAH34" s="713"/>
      <c r="FAI34" s="713"/>
      <c r="FAJ34" s="713"/>
      <c r="FAK34" s="713"/>
      <c r="FAL34" s="713"/>
      <c r="FAM34" s="713"/>
      <c r="FAN34" s="713"/>
      <c r="FAO34" s="713"/>
      <c r="FAP34" s="713"/>
      <c r="FAQ34" s="713"/>
      <c r="FAR34" s="713"/>
      <c r="FAS34" s="713"/>
      <c r="FAT34" s="713"/>
      <c r="FAU34" s="713"/>
      <c r="FAV34" s="713"/>
      <c r="FAW34" s="713"/>
      <c r="FAX34" s="713"/>
      <c r="FAY34" s="713"/>
      <c r="FAZ34" s="713"/>
      <c r="FBA34" s="713"/>
      <c r="FBB34" s="713"/>
      <c r="FBC34" s="713"/>
      <c r="FBD34" s="713"/>
      <c r="FBE34" s="713"/>
      <c r="FBF34" s="713"/>
      <c r="FBG34" s="713"/>
      <c r="FBH34" s="713"/>
      <c r="FBI34" s="713"/>
      <c r="FBJ34" s="713"/>
      <c r="FBK34" s="713"/>
      <c r="FBL34" s="713"/>
      <c r="FBM34" s="713"/>
      <c r="FBN34" s="713"/>
      <c r="FBO34" s="713"/>
      <c r="FBP34" s="713"/>
      <c r="FBQ34" s="713"/>
      <c r="FBR34" s="713"/>
      <c r="FBS34" s="713"/>
      <c r="FBT34" s="713"/>
      <c r="FBU34" s="713"/>
      <c r="FBV34" s="713"/>
      <c r="FBW34" s="713"/>
      <c r="FBX34" s="713"/>
      <c r="FBY34" s="713"/>
      <c r="FBZ34" s="713"/>
      <c r="FCA34" s="713"/>
      <c r="FCB34" s="713"/>
      <c r="FCC34" s="713"/>
      <c r="FCD34" s="713"/>
      <c r="FCE34" s="713"/>
      <c r="FCF34" s="713"/>
      <c r="FCG34" s="713"/>
      <c r="FCH34" s="713"/>
      <c r="FCI34" s="713"/>
      <c r="FCJ34" s="713"/>
      <c r="FCK34" s="713"/>
      <c r="FCL34" s="713"/>
      <c r="FCM34" s="713"/>
      <c r="FCN34" s="713"/>
      <c r="FCO34" s="713"/>
      <c r="FCP34" s="713"/>
      <c r="FCQ34" s="713"/>
      <c r="FCR34" s="713"/>
      <c r="FCS34" s="713"/>
      <c r="FCT34" s="713"/>
      <c r="FCU34" s="713"/>
      <c r="FCV34" s="713"/>
      <c r="FCW34" s="713"/>
      <c r="FCX34" s="713"/>
      <c r="FCY34" s="713"/>
      <c r="FCZ34" s="713"/>
      <c r="FDA34" s="713"/>
      <c r="FDB34" s="713"/>
      <c r="FDC34" s="713"/>
      <c r="FDD34" s="713"/>
      <c r="FDE34" s="713"/>
      <c r="FDF34" s="713"/>
      <c r="FDG34" s="713"/>
      <c r="FDH34" s="713"/>
      <c r="FDI34" s="713"/>
      <c r="FDJ34" s="713"/>
      <c r="FDK34" s="713"/>
      <c r="FDL34" s="713"/>
      <c r="FDM34" s="713"/>
      <c r="FDN34" s="713"/>
      <c r="FDO34" s="713"/>
      <c r="FDP34" s="713"/>
      <c r="FDQ34" s="713"/>
      <c r="FDR34" s="713"/>
      <c r="FDS34" s="713"/>
      <c r="FDT34" s="713"/>
      <c r="FDU34" s="713"/>
      <c r="FDV34" s="713"/>
      <c r="FDW34" s="713"/>
      <c r="FDX34" s="713"/>
      <c r="FDY34" s="713"/>
      <c r="FDZ34" s="713"/>
      <c r="FEA34" s="713"/>
      <c r="FEB34" s="713"/>
      <c r="FEC34" s="713"/>
      <c r="FED34" s="713"/>
      <c r="FEE34" s="713"/>
      <c r="FEF34" s="713"/>
      <c r="FEG34" s="713"/>
      <c r="FEH34" s="713"/>
      <c r="FEI34" s="713"/>
      <c r="FEJ34" s="713"/>
      <c r="FEK34" s="713"/>
      <c r="FEL34" s="713"/>
      <c r="FEM34" s="713"/>
      <c r="FEN34" s="713"/>
      <c r="FEO34" s="713"/>
      <c r="FEP34" s="713"/>
      <c r="FEQ34" s="713"/>
      <c r="FER34" s="713"/>
      <c r="FES34" s="713"/>
      <c r="FET34" s="713"/>
      <c r="FEU34" s="713"/>
      <c r="FEV34" s="713"/>
      <c r="FEW34" s="713"/>
      <c r="FEX34" s="713"/>
      <c r="FEY34" s="713"/>
      <c r="FEZ34" s="713"/>
      <c r="FFA34" s="713"/>
      <c r="FFB34" s="713"/>
      <c r="FFC34" s="713"/>
      <c r="FFD34" s="713"/>
      <c r="FFE34" s="713"/>
      <c r="FFF34" s="713"/>
      <c r="FFG34" s="713"/>
      <c r="FFH34" s="713"/>
      <c r="FFI34" s="713"/>
      <c r="FFJ34" s="713"/>
      <c r="FFK34" s="713"/>
      <c r="FFL34" s="713"/>
      <c r="FFM34" s="713"/>
      <c r="FFN34" s="713"/>
      <c r="FFO34" s="713"/>
      <c r="FFP34" s="713"/>
      <c r="FFQ34" s="713"/>
      <c r="FFR34" s="713"/>
      <c r="FFS34" s="713"/>
      <c r="FFT34" s="713"/>
      <c r="FFU34" s="713"/>
      <c r="FFV34" s="713"/>
      <c r="FFW34" s="713"/>
      <c r="FFX34" s="713"/>
      <c r="FFY34" s="713"/>
      <c r="FFZ34" s="713"/>
      <c r="FGA34" s="713"/>
      <c r="FGB34" s="713"/>
      <c r="FGC34" s="713"/>
      <c r="FGD34" s="713"/>
      <c r="FGE34" s="713"/>
      <c r="FGF34" s="713"/>
      <c r="FGG34" s="713"/>
      <c r="FGH34" s="713"/>
      <c r="FGI34" s="713"/>
      <c r="FGJ34" s="713"/>
      <c r="FGK34" s="713"/>
      <c r="FGL34" s="713"/>
      <c r="FGM34" s="713"/>
      <c r="FGN34" s="713"/>
      <c r="FGO34" s="713"/>
      <c r="FGP34" s="713"/>
      <c r="FGQ34" s="713"/>
      <c r="FGR34" s="713"/>
      <c r="FGS34" s="713"/>
      <c r="FGT34" s="713"/>
      <c r="FGU34" s="713"/>
      <c r="FGV34" s="713"/>
      <c r="FGW34" s="713"/>
      <c r="FGX34" s="713"/>
      <c r="FGY34" s="713"/>
      <c r="FGZ34" s="713"/>
      <c r="FHA34" s="713"/>
      <c r="FHB34" s="713"/>
      <c r="FHC34" s="713"/>
      <c r="FHD34" s="713"/>
      <c r="FHE34" s="713"/>
      <c r="FHF34" s="713"/>
      <c r="FHG34" s="713"/>
      <c r="FHH34" s="713"/>
      <c r="FHI34" s="713"/>
      <c r="FHJ34" s="713"/>
      <c r="FHK34" s="713"/>
      <c r="FHL34" s="713"/>
      <c r="FHM34" s="713"/>
      <c r="FHN34" s="713"/>
      <c r="FHO34" s="713"/>
      <c r="FHP34" s="713"/>
      <c r="FHQ34" s="713"/>
      <c r="FHR34" s="713"/>
      <c r="FHS34" s="713"/>
      <c r="FHT34" s="713"/>
      <c r="FHU34" s="713"/>
      <c r="FHV34" s="713"/>
      <c r="FHW34" s="713"/>
      <c r="FHX34" s="713"/>
      <c r="FHY34" s="713"/>
      <c r="FHZ34" s="713"/>
      <c r="FIA34" s="713"/>
      <c r="FIB34" s="713"/>
      <c r="FIC34" s="713"/>
      <c r="FID34" s="713"/>
      <c r="FIE34" s="713"/>
      <c r="FIF34" s="713"/>
      <c r="FIG34" s="713"/>
      <c r="FIH34" s="713"/>
      <c r="FII34" s="713"/>
      <c r="FIJ34" s="713"/>
      <c r="FIK34" s="713"/>
      <c r="FIL34" s="713"/>
      <c r="FIM34" s="713"/>
      <c r="FIN34" s="713"/>
      <c r="FIO34" s="713"/>
      <c r="FIP34" s="713"/>
      <c r="FIQ34" s="713"/>
      <c r="FIR34" s="713"/>
      <c r="FIS34" s="713"/>
      <c r="FIT34" s="713"/>
      <c r="FIU34" s="713"/>
      <c r="FIV34" s="713"/>
      <c r="FIW34" s="713"/>
      <c r="FIX34" s="713"/>
      <c r="FIY34" s="713"/>
      <c r="FIZ34" s="713"/>
      <c r="FJA34" s="713"/>
      <c r="FJB34" s="713"/>
      <c r="FJC34" s="713"/>
      <c r="FJD34" s="713"/>
      <c r="FJE34" s="713"/>
      <c r="FJF34" s="713"/>
      <c r="FJG34" s="713"/>
      <c r="FJH34" s="713"/>
      <c r="FJI34" s="713"/>
      <c r="FJJ34" s="713"/>
      <c r="FJK34" s="713"/>
      <c r="FJL34" s="713"/>
      <c r="FJM34" s="713"/>
      <c r="FJN34" s="713"/>
      <c r="FJO34" s="713"/>
      <c r="FJP34" s="713"/>
      <c r="FJQ34" s="713"/>
      <c r="FJR34" s="713"/>
      <c r="FJS34" s="713"/>
      <c r="FJT34" s="713"/>
      <c r="FJU34" s="713"/>
      <c r="FJV34" s="713"/>
      <c r="FJW34" s="713"/>
      <c r="FJX34" s="713"/>
      <c r="FJY34" s="713"/>
      <c r="FJZ34" s="713"/>
      <c r="FKA34" s="713"/>
      <c r="FKB34" s="713"/>
      <c r="FKC34" s="713"/>
      <c r="FKD34" s="713"/>
      <c r="FKE34" s="713"/>
      <c r="FKF34" s="713"/>
      <c r="FKG34" s="713"/>
      <c r="FKH34" s="713"/>
      <c r="FKI34" s="713"/>
      <c r="FKJ34" s="713"/>
      <c r="FKK34" s="713"/>
      <c r="FKL34" s="713"/>
      <c r="FKM34" s="713"/>
      <c r="FKN34" s="713"/>
      <c r="FKO34" s="713"/>
      <c r="FKP34" s="713"/>
      <c r="FKQ34" s="713"/>
      <c r="FKR34" s="713"/>
      <c r="FKS34" s="713"/>
      <c r="FKT34" s="713"/>
      <c r="FKU34" s="713"/>
      <c r="FKV34" s="713"/>
      <c r="FKW34" s="713"/>
      <c r="FKX34" s="713"/>
      <c r="FKY34" s="713"/>
      <c r="FKZ34" s="713"/>
      <c r="FLA34" s="713"/>
      <c r="FLB34" s="713"/>
      <c r="FLC34" s="713"/>
      <c r="FLD34" s="713"/>
      <c r="FLE34" s="713"/>
      <c r="FLF34" s="713"/>
      <c r="FLG34" s="713"/>
      <c r="FLH34" s="713"/>
      <c r="FLI34" s="713"/>
      <c r="FLJ34" s="713"/>
      <c r="FLK34" s="713"/>
      <c r="FLL34" s="713"/>
      <c r="FLM34" s="713"/>
      <c r="FLN34" s="713"/>
      <c r="FLO34" s="713"/>
      <c r="FLP34" s="713"/>
      <c r="FLQ34" s="713"/>
      <c r="FLR34" s="713"/>
      <c r="FLS34" s="713"/>
      <c r="FLT34" s="713"/>
      <c r="FLU34" s="713"/>
      <c r="FLV34" s="713"/>
      <c r="FLW34" s="713"/>
      <c r="FLX34" s="713"/>
      <c r="FLY34" s="713"/>
      <c r="FLZ34" s="713"/>
      <c r="FMA34" s="713"/>
      <c r="FMB34" s="713"/>
      <c r="FMC34" s="713"/>
      <c r="FMD34" s="713"/>
      <c r="FME34" s="713"/>
      <c r="FMF34" s="713"/>
      <c r="FMG34" s="713"/>
      <c r="FMH34" s="713"/>
      <c r="FMI34" s="713"/>
      <c r="FMJ34" s="713"/>
      <c r="FMK34" s="713"/>
      <c r="FML34" s="713"/>
      <c r="FMM34" s="713"/>
      <c r="FMN34" s="713"/>
      <c r="FMO34" s="713"/>
      <c r="FMP34" s="713"/>
      <c r="FMQ34" s="713"/>
      <c r="FMR34" s="713"/>
      <c r="FMS34" s="713"/>
      <c r="FMT34" s="713"/>
      <c r="FMU34" s="713"/>
      <c r="FMV34" s="713"/>
      <c r="FMW34" s="713"/>
      <c r="FMX34" s="713"/>
      <c r="FMY34" s="713"/>
      <c r="FMZ34" s="713"/>
      <c r="FNA34" s="713"/>
      <c r="FNB34" s="713"/>
      <c r="FNC34" s="713"/>
      <c r="FND34" s="713"/>
      <c r="FNE34" s="713"/>
      <c r="FNF34" s="713"/>
      <c r="FNG34" s="713"/>
      <c r="FNH34" s="713"/>
      <c r="FNI34" s="713"/>
      <c r="FNJ34" s="713"/>
      <c r="FNK34" s="713"/>
      <c r="FNL34" s="713"/>
      <c r="FNM34" s="713"/>
      <c r="FNN34" s="713"/>
      <c r="FNO34" s="713"/>
      <c r="FNP34" s="713"/>
      <c r="FNQ34" s="713"/>
      <c r="FNR34" s="713"/>
      <c r="FNS34" s="713"/>
      <c r="FNT34" s="713"/>
      <c r="FNU34" s="713"/>
      <c r="FNV34" s="713"/>
      <c r="FNW34" s="713"/>
      <c r="FNX34" s="713"/>
      <c r="FNY34" s="713"/>
      <c r="FNZ34" s="713"/>
      <c r="FOA34" s="713"/>
      <c r="FOB34" s="713"/>
      <c r="FOC34" s="713"/>
      <c r="FOD34" s="713"/>
      <c r="FOE34" s="713"/>
      <c r="FOF34" s="713"/>
      <c r="FOG34" s="713"/>
      <c r="FOH34" s="713"/>
      <c r="FOI34" s="713"/>
      <c r="FOJ34" s="713"/>
      <c r="FOK34" s="713"/>
      <c r="FOL34" s="713"/>
      <c r="FOM34" s="713"/>
      <c r="FON34" s="713"/>
      <c r="FOO34" s="713"/>
      <c r="FOP34" s="713"/>
      <c r="FOQ34" s="713"/>
      <c r="FOR34" s="713"/>
      <c r="FOS34" s="713"/>
      <c r="FOT34" s="713"/>
      <c r="FOU34" s="713"/>
      <c r="FOV34" s="713"/>
      <c r="FOW34" s="713"/>
      <c r="FOX34" s="713"/>
      <c r="FOY34" s="713"/>
      <c r="FOZ34" s="713"/>
      <c r="FPA34" s="713"/>
      <c r="FPB34" s="713"/>
      <c r="FPC34" s="713"/>
      <c r="FPD34" s="713"/>
      <c r="FPE34" s="713"/>
      <c r="FPF34" s="713"/>
      <c r="FPG34" s="713"/>
      <c r="FPH34" s="713"/>
      <c r="FPI34" s="713"/>
      <c r="FPJ34" s="713"/>
      <c r="FPK34" s="713"/>
      <c r="FPL34" s="713"/>
      <c r="FPM34" s="713"/>
      <c r="FPN34" s="713"/>
      <c r="FPO34" s="713"/>
      <c r="FPP34" s="713"/>
      <c r="FPQ34" s="713"/>
      <c r="FPR34" s="713"/>
      <c r="FPS34" s="713"/>
      <c r="FPT34" s="713"/>
      <c r="FPU34" s="713"/>
      <c r="FPV34" s="713"/>
      <c r="FPW34" s="713"/>
      <c r="FPX34" s="713"/>
      <c r="FPY34" s="713"/>
      <c r="FPZ34" s="713"/>
      <c r="FQA34" s="713"/>
      <c r="FQB34" s="713"/>
      <c r="FQC34" s="713"/>
      <c r="FQD34" s="713"/>
      <c r="FQE34" s="713"/>
      <c r="FQF34" s="713"/>
      <c r="FQG34" s="713"/>
      <c r="FQH34" s="713"/>
      <c r="FQI34" s="713"/>
      <c r="FQJ34" s="713"/>
      <c r="FQK34" s="713"/>
      <c r="FQL34" s="713"/>
      <c r="FQM34" s="713"/>
      <c r="FQN34" s="713"/>
      <c r="FQO34" s="713"/>
      <c r="FQP34" s="713"/>
      <c r="FQQ34" s="713"/>
      <c r="FQR34" s="713"/>
      <c r="FQS34" s="713"/>
      <c r="FQT34" s="713"/>
      <c r="FQU34" s="713"/>
      <c r="FQV34" s="713"/>
      <c r="FQW34" s="713"/>
      <c r="FQX34" s="713"/>
      <c r="FQY34" s="713"/>
      <c r="FQZ34" s="713"/>
      <c r="FRA34" s="713"/>
      <c r="FRB34" s="713"/>
      <c r="FRC34" s="713"/>
      <c r="FRD34" s="713"/>
      <c r="FRE34" s="713"/>
      <c r="FRF34" s="713"/>
      <c r="FRG34" s="713"/>
      <c r="FRH34" s="713"/>
      <c r="FRI34" s="713"/>
      <c r="FRJ34" s="713"/>
      <c r="FRK34" s="713"/>
      <c r="FRL34" s="713"/>
      <c r="FRM34" s="713"/>
      <c r="FRN34" s="713"/>
      <c r="FRO34" s="713"/>
      <c r="FRP34" s="713"/>
      <c r="FRQ34" s="713"/>
      <c r="FRR34" s="713"/>
      <c r="FRS34" s="713"/>
      <c r="FRT34" s="713"/>
      <c r="FRU34" s="713"/>
      <c r="FRV34" s="713"/>
      <c r="FRW34" s="713"/>
      <c r="FRX34" s="713"/>
      <c r="FRY34" s="713"/>
      <c r="FRZ34" s="713"/>
      <c r="FSA34" s="713"/>
      <c r="FSB34" s="713"/>
      <c r="FSC34" s="713"/>
      <c r="FSD34" s="713"/>
      <c r="FSE34" s="713"/>
      <c r="FSF34" s="713"/>
      <c r="FSG34" s="713"/>
      <c r="FSH34" s="713"/>
      <c r="FSI34" s="713"/>
      <c r="FSJ34" s="713"/>
      <c r="FSK34" s="713"/>
      <c r="FSL34" s="713"/>
      <c r="FSM34" s="713"/>
      <c r="FSN34" s="713"/>
      <c r="FSO34" s="713"/>
      <c r="FSP34" s="713"/>
      <c r="FSQ34" s="713"/>
      <c r="FSR34" s="713"/>
      <c r="FSS34" s="713"/>
      <c r="FST34" s="713"/>
      <c r="FSU34" s="713"/>
      <c r="FSV34" s="713"/>
      <c r="FSW34" s="713"/>
      <c r="FSX34" s="713"/>
      <c r="FSY34" s="713"/>
      <c r="FSZ34" s="713"/>
      <c r="FTA34" s="713"/>
      <c r="FTB34" s="713"/>
      <c r="FTC34" s="713"/>
      <c r="FTD34" s="713"/>
      <c r="FTE34" s="713"/>
      <c r="FTF34" s="713"/>
      <c r="FTG34" s="713"/>
      <c r="FTH34" s="713"/>
      <c r="FTI34" s="713"/>
      <c r="FTJ34" s="713"/>
      <c r="FTK34" s="713"/>
      <c r="FTL34" s="713"/>
      <c r="FTM34" s="713"/>
      <c r="FTN34" s="713"/>
      <c r="FTO34" s="713"/>
      <c r="FTP34" s="713"/>
      <c r="FTQ34" s="713"/>
      <c r="FTR34" s="713"/>
      <c r="FTS34" s="713"/>
      <c r="FTT34" s="713"/>
      <c r="FTU34" s="713"/>
      <c r="FTV34" s="713"/>
      <c r="FTW34" s="713"/>
      <c r="FTX34" s="713"/>
      <c r="FTY34" s="713"/>
      <c r="FTZ34" s="713"/>
      <c r="FUA34" s="713"/>
      <c r="FUB34" s="713"/>
      <c r="FUC34" s="713"/>
      <c r="FUD34" s="713"/>
      <c r="FUE34" s="713"/>
      <c r="FUF34" s="713"/>
      <c r="FUG34" s="713"/>
      <c r="FUH34" s="713"/>
      <c r="FUI34" s="713"/>
      <c r="FUJ34" s="713"/>
      <c r="FUK34" s="713"/>
      <c r="FUL34" s="713"/>
      <c r="FUM34" s="713"/>
      <c r="FUN34" s="713"/>
      <c r="FUO34" s="713"/>
      <c r="FUP34" s="713"/>
      <c r="FUQ34" s="713"/>
      <c r="FUR34" s="713"/>
      <c r="FUS34" s="713"/>
      <c r="FUT34" s="713"/>
      <c r="FUU34" s="713"/>
      <c r="FUV34" s="713"/>
      <c r="FUW34" s="713"/>
      <c r="FUX34" s="713"/>
      <c r="FUY34" s="713"/>
      <c r="FUZ34" s="713"/>
      <c r="FVA34" s="713"/>
      <c r="FVB34" s="713"/>
      <c r="FVC34" s="713"/>
      <c r="FVD34" s="713"/>
      <c r="FVE34" s="713"/>
      <c r="FVF34" s="713"/>
      <c r="FVG34" s="713"/>
      <c r="FVH34" s="713"/>
      <c r="FVI34" s="713"/>
      <c r="FVJ34" s="713"/>
      <c r="FVK34" s="713"/>
      <c r="FVL34" s="713"/>
      <c r="FVM34" s="713"/>
      <c r="FVN34" s="713"/>
      <c r="FVO34" s="713"/>
      <c r="FVP34" s="713"/>
      <c r="FVQ34" s="713"/>
      <c r="FVR34" s="713"/>
      <c r="FVS34" s="713"/>
      <c r="FVT34" s="713"/>
      <c r="FVU34" s="713"/>
      <c r="FVV34" s="713"/>
      <c r="FVW34" s="713"/>
      <c r="FVX34" s="713"/>
      <c r="FVY34" s="713"/>
      <c r="FVZ34" s="713"/>
      <c r="FWA34" s="713"/>
      <c r="FWB34" s="713"/>
      <c r="FWC34" s="713"/>
      <c r="FWD34" s="713"/>
      <c r="FWE34" s="713"/>
      <c r="FWF34" s="713"/>
      <c r="FWG34" s="713"/>
      <c r="FWH34" s="713"/>
      <c r="FWI34" s="713"/>
      <c r="FWJ34" s="713"/>
      <c r="FWK34" s="713"/>
      <c r="FWL34" s="713"/>
      <c r="FWM34" s="713"/>
      <c r="FWN34" s="713"/>
      <c r="FWO34" s="713"/>
      <c r="FWP34" s="713"/>
      <c r="FWQ34" s="713"/>
      <c r="FWR34" s="713"/>
      <c r="FWS34" s="713"/>
      <c r="FWT34" s="713"/>
      <c r="FWU34" s="713"/>
      <c r="FWV34" s="713"/>
      <c r="FWW34" s="713"/>
      <c r="FWX34" s="713"/>
      <c r="FWY34" s="713"/>
      <c r="FWZ34" s="713"/>
      <c r="FXA34" s="713"/>
      <c r="FXB34" s="713"/>
      <c r="FXC34" s="713"/>
      <c r="FXD34" s="713"/>
      <c r="FXE34" s="713"/>
      <c r="FXF34" s="713"/>
      <c r="FXG34" s="713"/>
      <c r="FXH34" s="713"/>
      <c r="FXI34" s="713"/>
      <c r="FXJ34" s="713"/>
      <c r="FXK34" s="713"/>
      <c r="FXL34" s="713"/>
      <c r="FXM34" s="713"/>
      <c r="FXN34" s="713"/>
      <c r="FXO34" s="713"/>
      <c r="FXP34" s="713"/>
      <c r="FXQ34" s="713"/>
      <c r="FXR34" s="713"/>
      <c r="FXS34" s="713"/>
      <c r="FXT34" s="713"/>
      <c r="FXU34" s="713"/>
      <c r="FXV34" s="713"/>
      <c r="FXW34" s="713"/>
      <c r="FXX34" s="713"/>
      <c r="FXY34" s="713"/>
      <c r="FXZ34" s="713"/>
      <c r="FYA34" s="713"/>
      <c r="FYB34" s="713"/>
      <c r="FYC34" s="713"/>
      <c r="FYD34" s="713"/>
      <c r="FYE34" s="713"/>
      <c r="FYF34" s="713"/>
      <c r="FYG34" s="713"/>
      <c r="FYH34" s="713"/>
      <c r="FYI34" s="713"/>
      <c r="FYJ34" s="713"/>
      <c r="FYK34" s="713"/>
      <c r="FYL34" s="713"/>
      <c r="FYM34" s="713"/>
      <c r="FYN34" s="713"/>
      <c r="FYO34" s="713"/>
      <c r="FYP34" s="713"/>
      <c r="FYQ34" s="713"/>
      <c r="FYR34" s="713"/>
      <c r="FYS34" s="713"/>
      <c r="FYT34" s="713"/>
      <c r="FYU34" s="713"/>
      <c r="FYV34" s="713"/>
      <c r="FYW34" s="713"/>
      <c r="FYX34" s="713"/>
      <c r="FYY34" s="713"/>
      <c r="FYZ34" s="713"/>
      <c r="FZA34" s="713"/>
      <c r="FZB34" s="713"/>
      <c r="FZC34" s="713"/>
      <c r="FZD34" s="713"/>
      <c r="FZE34" s="713"/>
      <c r="FZF34" s="713"/>
      <c r="FZG34" s="713"/>
      <c r="FZH34" s="713"/>
      <c r="FZI34" s="713"/>
      <c r="FZJ34" s="713"/>
      <c r="FZK34" s="713"/>
      <c r="FZL34" s="713"/>
      <c r="FZM34" s="713"/>
      <c r="FZN34" s="713"/>
      <c r="FZO34" s="713"/>
      <c r="FZP34" s="713"/>
      <c r="FZQ34" s="713"/>
      <c r="FZR34" s="713"/>
      <c r="FZS34" s="713"/>
      <c r="FZT34" s="713"/>
      <c r="FZU34" s="713"/>
      <c r="FZV34" s="713"/>
      <c r="FZW34" s="713"/>
      <c r="FZX34" s="713"/>
      <c r="FZY34" s="713"/>
      <c r="FZZ34" s="713"/>
      <c r="GAA34" s="713"/>
      <c r="GAB34" s="713"/>
      <c r="GAC34" s="713"/>
      <c r="GAD34" s="713"/>
      <c r="GAE34" s="713"/>
      <c r="GAF34" s="713"/>
      <c r="GAG34" s="713"/>
      <c r="GAH34" s="713"/>
      <c r="GAI34" s="713"/>
      <c r="GAJ34" s="713"/>
      <c r="GAK34" s="713"/>
      <c r="GAL34" s="713"/>
      <c r="GAM34" s="713"/>
      <c r="GAN34" s="713"/>
      <c r="GAO34" s="713"/>
      <c r="GAP34" s="713"/>
      <c r="GAQ34" s="713"/>
      <c r="GAR34" s="713"/>
      <c r="GAS34" s="713"/>
      <c r="GAT34" s="713"/>
      <c r="GAU34" s="713"/>
      <c r="GAV34" s="713"/>
      <c r="GAW34" s="713"/>
      <c r="GAX34" s="713"/>
      <c r="GAY34" s="713"/>
      <c r="GAZ34" s="713"/>
      <c r="GBA34" s="713"/>
      <c r="GBB34" s="713"/>
      <c r="GBC34" s="713"/>
      <c r="GBD34" s="713"/>
      <c r="GBE34" s="713"/>
      <c r="GBF34" s="713"/>
      <c r="GBG34" s="713"/>
      <c r="GBH34" s="713"/>
      <c r="GBI34" s="713"/>
      <c r="GBJ34" s="713"/>
      <c r="GBK34" s="713"/>
      <c r="GBL34" s="713"/>
      <c r="GBM34" s="713"/>
      <c r="GBN34" s="713"/>
      <c r="GBO34" s="713"/>
      <c r="GBP34" s="713"/>
      <c r="GBQ34" s="713"/>
      <c r="GBR34" s="713"/>
      <c r="GBS34" s="713"/>
      <c r="GBT34" s="713"/>
      <c r="GBU34" s="713"/>
      <c r="GBV34" s="713"/>
      <c r="GBW34" s="713"/>
      <c r="GBX34" s="713"/>
      <c r="GBY34" s="713"/>
      <c r="GBZ34" s="713"/>
      <c r="GCA34" s="713"/>
      <c r="GCB34" s="713"/>
      <c r="GCC34" s="713"/>
      <c r="GCD34" s="713"/>
      <c r="GCE34" s="713"/>
      <c r="GCF34" s="713"/>
      <c r="GCG34" s="713"/>
      <c r="GCH34" s="713"/>
      <c r="GCI34" s="713"/>
      <c r="GCJ34" s="713"/>
      <c r="GCK34" s="713"/>
      <c r="GCL34" s="713"/>
      <c r="GCM34" s="713"/>
      <c r="GCN34" s="713"/>
      <c r="GCO34" s="713"/>
      <c r="GCP34" s="713"/>
      <c r="GCQ34" s="713"/>
      <c r="GCR34" s="713"/>
      <c r="GCS34" s="713"/>
      <c r="GCT34" s="713"/>
      <c r="GCU34" s="713"/>
      <c r="GCV34" s="713"/>
      <c r="GCW34" s="713"/>
      <c r="GCX34" s="713"/>
      <c r="GCY34" s="713"/>
      <c r="GCZ34" s="713"/>
      <c r="GDA34" s="713"/>
      <c r="GDB34" s="713"/>
      <c r="GDC34" s="713"/>
      <c r="GDD34" s="713"/>
      <c r="GDE34" s="713"/>
      <c r="GDF34" s="713"/>
      <c r="GDG34" s="713"/>
      <c r="GDH34" s="713"/>
      <c r="GDI34" s="713"/>
      <c r="GDJ34" s="713"/>
      <c r="GDK34" s="713"/>
      <c r="GDL34" s="713"/>
      <c r="GDM34" s="713"/>
      <c r="GDN34" s="713"/>
      <c r="GDO34" s="713"/>
      <c r="GDP34" s="713"/>
      <c r="GDQ34" s="713"/>
      <c r="GDR34" s="713"/>
      <c r="GDS34" s="713"/>
      <c r="GDT34" s="713"/>
      <c r="GDU34" s="713"/>
      <c r="GDV34" s="713"/>
      <c r="GDW34" s="713"/>
      <c r="GDX34" s="713"/>
      <c r="GDY34" s="713"/>
      <c r="GDZ34" s="713"/>
      <c r="GEA34" s="713"/>
      <c r="GEB34" s="713"/>
      <c r="GEC34" s="713"/>
      <c r="GED34" s="713"/>
      <c r="GEE34" s="713"/>
      <c r="GEF34" s="713"/>
      <c r="GEG34" s="713"/>
      <c r="GEH34" s="713"/>
      <c r="GEI34" s="713"/>
      <c r="GEJ34" s="713"/>
      <c r="GEK34" s="713"/>
      <c r="GEL34" s="713"/>
      <c r="GEM34" s="713"/>
      <c r="GEN34" s="713"/>
      <c r="GEO34" s="713"/>
      <c r="GEP34" s="713"/>
      <c r="GEQ34" s="713"/>
      <c r="GER34" s="713"/>
      <c r="GES34" s="713"/>
      <c r="GET34" s="713"/>
      <c r="GEU34" s="713"/>
      <c r="GEV34" s="713"/>
      <c r="GEW34" s="713"/>
      <c r="GEX34" s="713"/>
      <c r="GEY34" s="713"/>
      <c r="GEZ34" s="713"/>
      <c r="GFA34" s="713"/>
      <c r="GFB34" s="713"/>
      <c r="GFC34" s="713"/>
      <c r="GFD34" s="713"/>
      <c r="GFE34" s="713"/>
      <c r="GFF34" s="713"/>
      <c r="GFG34" s="713"/>
      <c r="GFH34" s="713"/>
      <c r="GFI34" s="713"/>
      <c r="GFJ34" s="713"/>
      <c r="GFK34" s="713"/>
      <c r="GFL34" s="713"/>
      <c r="GFM34" s="713"/>
      <c r="GFN34" s="713"/>
      <c r="GFO34" s="713"/>
      <c r="GFP34" s="713"/>
      <c r="GFQ34" s="713"/>
      <c r="GFR34" s="713"/>
      <c r="GFS34" s="713"/>
      <c r="GFT34" s="713"/>
      <c r="GFU34" s="713"/>
      <c r="GFV34" s="713"/>
      <c r="GFW34" s="713"/>
      <c r="GFX34" s="713"/>
      <c r="GFY34" s="713"/>
      <c r="GFZ34" s="713"/>
      <c r="GGA34" s="713"/>
      <c r="GGB34" s="713"/>
      <c r="GGC34" s="713"/>
      <c r="GGD34" s="713"/>
      <c r="GGE34" s="713"/>
      <c r="GGF34" s="713"/>
      <c r="GGG34" s="713"/>
      <c r="GGH34" s="713"/>
      <c r="GGI34" s="713"/>
      <c r="GGJ34" s="713"/>
      <c r="GGK34" s="713"/>
      <c r="GGL34" s="713"/>
      <c r="GGM34" s="713"/>
      <c r="GGN34" s="713"/>
      <c r="GGO34" s="713"/>
      <c r="GGP34" s="713"/>
      <c r="GGQ34" s="713"/>
      <c r="GGR34" s="713"/>
      <c r="GGS34" s="713"/>
      <c r="GGT34" s="713"/>
      <c r="GGU34" s="713"/>
      <c r="GGV34" s="713"/>
      <c r="GGW34" s="713"/>
      <c r="GGX34" s="713"/>
      <c r="GGY34" s="713"/>
      <c r="GGZ34" s="713"/>
      <c r="GHA34" s="713"/>
      <c r="GHB34" s="713"/>
      <c r="GHC34" s="713"/>
      <c r="GHD34" s="713"/>
      <c r="GHE34" s="713"/>
      <c r="GHF34" s="713"/>
      <c r="GHG34" s="713"/>
      <c r="GHH34" s="713"/>
      <c r="GHI34" s="713"/>
      <c r="GHJ34" s="713"/>
      <c r="GHK34" s="713"/>
      <c r="GHL34" s="713"/>
      <c r="GHM34" s="713"/>
      <c r="GHN34" s="713"/>
      <c r="GHO34" s="713"/>
      <c r="GHP34" s="713"/>
      <c r="GHQ34" s="713"/>
      <c r="GHR34" s="713"/>
      <c r="GHS34" s="713"/>
      <c r="GHT34" s="713"/>
      <c r="GHU34" s="713"/>
      <c r="GHV34" s="713"/>
      <c r="GHW34" s="713"/>
      <c r="GHX34" s="713"/>
      <c r="GHY34" s="713"/>
      <c r="GHZ34" s="713"/>
      <c r="GIA34" s="713"/>
      <c r="GIB34" s="713"/>
      <c r="GIC34" s="713"/>
      <c r="GID34" s="713"/>
      <c r="GIE34" s="713"/>
      <c r="GIF34" s="713"/>
      <c r="GIG34" s="713"/>
      <c r="GIH34" s="713"/>
      <c r="GII34" s="713"/>
      <c r="GIJ34" s="713"/>
      <c r="GIK34" s="713"/>
      <c r="GIL34" s="713"/>
      <c r="GIM34" s="713"/>
      <c r="GIN34" s="713"/>
      <c r="GIO34" s="713"/>
      <c r="GIP34" s="713"/>
      <c r="GIQ34" s="713"/>
      <c r="GIR34" s="713"/>
      <c r="GIS34" s="713"/>
      <c r="GIT34" s="713"/>
      <c r="GIU34" s="713"/>
      <c r="GIV34" s="713"/>
      <c r="GIW34" s="713"/>
      <c r="GIX34" s="713"/>
      <c r="GIY34" s="713"/>
      <c r="GIZ34" s="713"/>
      <c r="GJA34" s="713"/>
      <c r="GJB34" s="713"/>
      <c r="GJC34" s="713"/>
      <c r="GJD34" s="713"/>
      <c r="GJE34" s="713"/>
      <c r="GJF34" s="713"/>
      <c r="GJG34" s="713"/>
      <c r="GJH34" s="713"/>
      <c r="GJI34" s="713"/>
      <c r="GJJ34" s="713"/>
      <c r="GJK34" s="713"/>
      <c r="GJL34" s="713"/>
      <c r="GJM34" s="713"/>
      <c r="GJN34" s="713"/>
      <c r="GJO34" s="713"/>
      <c r="GJP34" s="713"/>
      <c r="GJQ34" s="713"/>
      <c r="GJR34" s="713"/>
      <c r="GJS34" s="713"/>
      <c r="GJT34" s="713"/>
      <c r="GJU34" s="713"/>
      <c r="GJV34" s="713"/>
      <c r="GJW34" s="713"/>
      <c r="GJX34" s="713"/>
      <c r="GJY34" s="713"/>
      <c r="GJZ34" s="713"/>
      <c r="GKA34" s="713"/>
      <c r="GKB34" s="713"/>
      <c r="GKC34" s="713"/>
      <c r="GKD34" s="713"/>
      <c r="GKE34" s="713"/>
      <c r="GKF34" s="713"/>
      <c r="GKG34" s="713"/>
      <c r="GKH34" s="713"/>
      <c r="GKI34" s="713"/>
      <c r="GKJ34" s="713"/>
      <c r="GKK34" s="713"/>
      <c r="GKL34" s="713"/>
      <c r="GKM34" s="713"/>
      <c r="GKN34" s="713"/>
      <c r="GKO34" s="713"/>
      <c r="GKP34" s="713"/>
      <c r="GKQ34" s="713"/>
      <c r="GKR34" s="713"/>
      <c r="GKS34" s="713"/>
      <c r="GKT34" s="713"/>
      <c r="GKU34" s="713"/>
      <c r="GKV34" s="713"/>
      <c r="GKW34" s="713"/>
      <c r="GKX34" s="713"/>
      <c r="GKY34" s="713"/>
      <c r="GKZ34" s="713"/>
      <c r="GLA34" s="713"/>
      <c r="GLB34" s="713"/>
      <c r="GLC34" s="713"/>
      <c r="GLD34" s="713"/>
      <c r="GLE34" s="713"/>
      <c r="GLF34" s="713"/>
      <c r="GLG34" s="713"/>
      <c r="GLH34" s="713"/>
      <c r="GLI34" s="713"/>
      <c r="GLJ34" s="713"/>
      <c r="GLK34" s="713"/>
      <c r="GLL34" s="713"/>
      <c r="GLM34" s="713"/>
      <c r="GLN34" s="713"/>
      <c r="GLO34" s="713"/>
      <c r="GLP34" s="713"/>
      <c r="GLQ34" s="713"/>
      <c r="GLR34" s="713"/>
      <c r="GLS34" s="713"/>
      <c r="GLT34" s="713"/>
      <c r="GLU34" s="713"/>
      <c r="GLV34" s="713"/>
      <c r="GLW34" s="713"/>
      <c r="GLX34" s="713"/>
      <c r="GLY34" s="713"/>
      <c r="GLZ34" s="713"/>
      <c r="GMA34" s="713"/>
      <c r="GMB34" s="713"/>
      <c r="GMC34" s="713"/>
      <c r="GMD34" s="713"/>
      <c r="GME34" s="713"/>
      <c r="GMF34" s="713"/>
      <c r="GMG34" s="713"/>
      <c r="GMH34" s="713"/>
      <c r="GMI34" s="713"/>
      <c r="GMJ34" s="713"/>
      <c r="GMK34" s="713"/>
      <c r="GML34" s="713"/>
      <c r="GMM34" s="713"/>
      <c r="GMN34" s="713"/>
      <c r="GMO34" s="713"/>
      <c r="GMP34" s="713"/>
      <c r="GMQ34" s="713"/>
      <c r="GMR34" s="713"/>
      <c r="GMS34" s="713"/>
      <c r="GMT34" s="713"/>
      <c r="GMU34" s="713"/>
      <c r="GMV34" s="713"/>
      <c r="GMW34" s="713"/>
      <c r="GMX34" s="713"/>
      <c r="GMY34" s="713"/>
      <c r="GMZ34" s="713"/>
      <c r="GNA34" s="713"/>
      <c r="GNB34" s="713"/>
      <c r="GNC34" s="713"/>
      <c r="GND34" s="713"/>
      <c r="GNE34" s="713"/>
      <c r="GNF34" s="713"/>
      <c r="GNG34" s="713"/>
      <c r="GNH34" s="713"/>
      <c r="GNI34" s="713"/>
      <c r="GNJ34" s="713"/>
      <c r="GNK34" s="713"/>
      <c r="GNL34" s="713"/>
      <c r="GNM34" s="713"/>
      <c r="GNN34" s="713"/>
      <c r="GNO34" s="713"/>
      <c r="GNP34" s="713"/>
      <c r="GNQ34" s="713"/>
      <c r="GNR34" s="713"/>
      <c r="GNS34" s="713"/>
      <c r="GNT34" s="713"/>
      <c r="GNU34" s="713"/>
      <c r="GNV34" s="713"/>
      <c r="GNW34" s="713"/>
      <c r="GNX34" s="713"/>
      <c r="GNY34" s="713"/>
      <c r="GNZ34" s="713"/>
      <c r="GOA34" s="713"/>
      <c r="GOB34" s="713"/>
      <c r="GOC34" s="713"/>
      <c r="GOD34" s="713"/>
      <c r="GOE34" s="713"/>
      <c r="GOF34" s="713"/>
      <c r="GOG34" s="713"/>
      <c r="GOH34" s="713"/>
      <c r="GOI34" s="713"/>
      <c r="GOJ34" s="713"/>
      <c r="GOK34" s="713"/>
      <c r="GOL34" s="713"/>
      <c r="GOM34" s="713"/>
      <c r="GON34" s="713"/>
      <c r="GOO34" s="713"/>
      <c r="GOP34" s="713"/>
      <c r="GOQ34" s="713"/>
      <c r="GOR34" s="713"/>
      <c r="GOS34" s="713"/>
      <c r="GOT34" s="713"/>
      <c r="GOU34" s="713"/>
      <c r="GOV34" s="713"/>
      <c r="GOW34" s="713"/>
      <c r="GOX34" s="713"/>
      <c r="GOY34" s="713"/>
      <c r="GOZ34" s="713"/>
      <c r="GPA34" s="713"/>
      <c r="GPB34" s="713"/>
      <c r="GPC34" s="713"/>
      <c r="GPD34" s="713"/>
      <c r="GPE34" s="713"/>
      <c r="GPF34" s="713"/>
      <c r="GPG34" s="713"/>
      <c r="GPH34" s="713"/>
      <c r="GPI34" s="713"/>
      <c r="GPJ34" s="713"/>
      <c r="GPK34" s="713"/>
      <c r="GPL34" s="713"/>
      <c r="GPM34" s="713"/>
      <c r="GPN34" s="713"/>
      <c r="GPO34" s="713"/>
      <c r="GPP34" s="713"/>
      <c r="GPQ34" s="713"/>
      <c r="GPR34" s="713"/>
      <c r="GPS34" s="713"/>
      <c r="GPT34" s="713"/>
      <c r="GPU34" s="713"/>
      <c r="GPV34" s="713"/>
      <c r="GPW34" s="713"/>
      <c r="GPX34" s="713"/>
      <c r="GPY34" s="713"/>
      <c r="GPZ34" s="713"/>
      <c r="GQA34" s="713"/>
      <c r="GQB34" s="713"/>
      <c r="GQC34" s="713"/>
      <c r="GQD34" s="713"/>
      <c r="GQE34" s="713"/>
      <c r="GQF34" s="713"/>
      <c r="GQG34" s="713"/>
      <c r="GQH34" s="713"/>
      <c r="GQI34" s="713"/>
      <c r="GQJ34" s="713"/>
      <c r="GQK34" s="713"/>
      <c r="GQL34" s="713"/>
      <c r="GQM34" s="713"/>
      <c r="GQN34" s="713"/>
      <c r="GQO34" s="713"/>
      <c r="GQP34" s="713"/>
      <c r="GQQ34" s="713"/>
      <c r="GQR34" s="713"/>
      <c r="GQS34" s="713"/>
      <c r="GQT34" s="713"/>
      <c r="GQU34" s="713"/>
      <c r="GQV34" s="713"/>
      <c r="GQW34" s="713"/>
      <c r="GQX34" s="713"/>
      <c r="GQY34" s="713"/>
      <c r="GQZ34" s="713"/>
      <c r="GRA34" s="713"/>
      <c r="GRB34" s="713"/>
      <c r="GRC34" s="713"/>
      <c r="GRD34" s="713"/>
      <c r="GRE34" s="713"/>
      <c r="GRF34" s="713"/>
      <c r="GRG34" s="713"/>
      <c r="GRH34" s="713"/>
      <c r="GRI34" s="713"/>
      <c r="GRJ34" s="713"/>
      <c r="GRK34" s="713"/>
      <c r="GRL34" s="713"/>
      <c r="GRM34" s="713"/>
      <c r="GRN34" s="713"/>
      <c r="GRO34" s="713"/>
      <c r="GRP34" s="713"/>
      <c r="GRQ34" s="713"/>
      <c r="GRR34" s="713"/>
      <c r="GRS34" s="713"/>
      <c r="GRT34" s="713"/>
      <c r="GRU34" s="713"/>
      <c r="GRV34" s="713"/>
      <c r="GRW34" s="713"/>
      <c r="GRX34" s="713"/>
      <c r="GRY34" s="713"/>
      <c r="GRZ34" s="713"/>
      <c r="GSA34" s="713"/>
      <c r="GSB34" s="713"/>
      <c r="GSC34" s="713"/>
      <c r="GSD34" s="713"/>
      <c r="GSE34" s="713"/>
      <c r="GSF34" s="713"/>
      <c r="GSG34" s="713"/>
      <c r="GSH34" s="713"/>
      <c r="GSI34" s="713"/>
      <c r="GSJ34" s="713"/>
      <c r="GSK34" s="713"/>
      <c r="GSL34" s="713"/>
      <c r="GSM34" s="713"/>
      <c r="GSN34" s="713"/>
      <c r="GSO34" s="713"/>
      <c r="GSP34" s="713"/>
      <c r="GSQ34" s="713"/>
      <c r="GSR34" s="713"/>
      <c r="GSS34" s="713"/>
      <c r="GST34" s="713"/>
      <c r="GSU34" s="713"/>
      <c r="GSV34" s="713"/>
      <c r="GSW34" s="713"/>
      <c r="GSX34" s="713"/>
      <c r="GSY34" s="713"/>
      <c r="GSZ34" s="713"/>
      <c r="GTA34" s="713"/>
      <c r="GTB34" s="713"/>
      <c r="GTC34" s="713"/>
      <c r="GTD34" s="713"/>
      <c r="GTE34" s="713"/>
      <c r="GTF34" s="713"/>
      <c r="GTG34" s="713"/>
      <c r="GTH34" s="713"/>
      <c r="GTI34" s="713"/>
      <c r="GTJ34" s="713"/>
      <c r="GTK34" s="713"/>
      <c r="GTL34" s="713"/>
      <c r="GTM34" s="713"/>
      <c r="GTN34" s="713"/>
      <c r="GTO34" s="713"/>
      <c r="GTP34" s="713"/>
      <c r="GTQ34" s="713"/>
      <c r="GTR34" s="713"/>
      <c r="GTS34" s="713"/>
      <c r="GTT34" s="713"/>
      <c r="GTU34" s="713"/>
      <c r="GTV34" s="713"/>
      <c r="GTW34" s="713"/>
      <c r="GTX34" s="713"/>
      <c r="GTY34" s="713"/>
      <c r="GTZ34" s="713"/>
      <c r="GUA34" s="713"/>
      <c r="GUB34" s="713"/>
      <c r="GUC34" s="713"/>
      <c r="GUD34" s="713"/>
      <c r="GUE34" s="713"/>
      <c r="GUF34" s="713"/>
      <c r="GUG34" s="713"/>
      <c r="GUH34" s="713"/>
      <c r="GUI34" s="713"/>
      <c r="GUJ34" s="713"/>
      <c r="GUK34" s="713"/>
      <c r="GUL34" s="713"/>
      <c r="GUM34" s="713"/>
      <c r="GUN34" s="713"/>
      <c r="GUO34" s="713"/>
      <c r="GUP34" s="713"/>
      <c r="GUQ34" s="713"/>
      <c r="GUR34" s="713"/>
      <c r="GUS34" s="713"/>
      <c r="GUT34" s="713"/>
      <c r="GUU34" s="713"/>
      <c r="GUV34" s="713"/>
      <c r="GUW34" s="713"/>
      <c r="GUX34" s="713"/>
      <c r="GUY34" s="713"/>
      <c r="GUZ34" s="713"/>
      <c r="GVA34" s="713"/>
      <c r="GVB34" s="713"/>
      <c r="GVC34" s="713"/>
      <c r="GVD34" s="713"/>
      <c r="GVE34" s="713"/>
      <c r="GVF34" s="713"/>
      <c r="GVG34" s="713"/>
      <c r="GVH34" s="713"/>
      <c r="GVI34" s="713"/>
      <c r="GVJ34" s="713"/>
      <c r="GVK34" s="713"/>
      <c r="GVL34" s="713"/>
      <c r="GVM34" s="713"/>
      <c r="GVN34" s="713"/>
      <c r="GVO34" s="713"/>
      <c r="GVP34" s="713"/>
      <c r="GVQ34" s="713"/>
      <c r="GVR34" s="713"/>
      <c r="GVS34" s="713"/>
      <c r="GVT34" s="713"/>
      <c r="GVU34" s="713"/>
      <c r="GVV34" s="713"/>
      <c r="GVW34" s="713"/>
      <c r="GVX34" s="713"/>
      <c r="GVY34" s="713"/>
      <c r="GVZ34" s="713"/>
      <c r="GWA34" s="713"/>
      <c r="GWB34" s="713"/>
      <c r="GWC34" s="713"/>
      <c r="GWD34" s="713"/>
      <c r="GWE34" s="713"/>
      <c r="GWF34" s="713"/>
      <c r="GWG34" s="713"/>
      <c r="GWH34" s="713"/>
      <c r="GWI34" s="713"/>
      <c r="GWJ34" s="713"/>
      <c r="GWK34" s="713"/>
      <c r="GWL34" s="713"/>
      <c r="GWM34" s="713"/>
      <c r="GWN34" s="713"/>
      <c r="GWO34" s="713"/>
      <c r="GWP34" s="713"/>
      <c r="GWQ34" s="713"/>
      <c r="GWR34" s="713"/>
      <c r="GWS34" s="713"/>
      <c r="GWT34" s="713"/>
      <c r="GWU34" s="713"/>
      <c r="GWV34" s="713"/>
      <c r="GWW34" s="713"/>
      <c r="GWX34" s="713"/>
      <c r="GWY34" s="713"/>
      <c r="GWZ34" s="713"/>
      <c r="GXA34" s="713"/>
      <c r="GXB34" s="713"/>
      <c r="GXC34" s="713"/>
      <c r="GXD34" s="713"/>
      <c r="GXE34" s="713"/>
      <c r="GXF34" s="713"/>
      <c r="GXG34" s="713"/>
      <c r="GXH34" s="713"/>
      <c r="GXI34" s="713"/>
      <c r="GXJ34" s="713"/>
      <c r="GXK34" s="713"/>
      <c r="GXL34" s="713"/>
      <c r="GXM34" s="713"/>
      <c r="GXN34" s="713"/>
      <c r="GXO34" s="713"/>
      <c r="GXP34" s="713"/>
      <c r="GXQ34" s="713"/>
      <c r="GXR34" s="713"/>
      <c r="GXS34" s="713"/>
      <c r="GXT34" s="713"/>
      <c r="GXU34" s="713"/>
      <c r="GXV34" s="713"/>
      <c r="GXW34" s="713"/>
      <c r="GXX34" s="713"/>
      <c r="GXY34" s="713"/>
      <c r="GXZ34" s="713"/>
      <c r="GYA34" s="713"/>
      <c r="GYB34" s="713"/>
      <c r="GYC34" s="713"/>
      <c r="GYD34" s="713"/>
      <c r="GYE34" s="713"/>
      <c r="GYF34" s="713"/>
      <c r="GYG34" s="713"/>
      <c r="GYH34" s="713"/>
      <c r="GYI34" s="713"/>
      <c r="GYJ34" s="713"/>
      <c r="GYK34" s="713"/>
      <c r="GYL34" s="713"/>
      <c r="GYM34" s="713"/>
      <c r="GYN34" s="713"/>
      <c r="GYO34" s="713"/>
      <c r="GYP34" s="713"/>
      <c r="GYQ34" s="713"/>
      <c r="GYR34" s="713"/>
      <c r="GYS34" s="713"/>
      <c r="GYT34" s="713"/>
      <c r="GYU34" s="713"/>
      <c r="GYV34" s="713"/>
      <c r="GYW34" s="713"/>
      <c r="GYX34" s="713"/>
      <c r="GYY34" s="713"/>
      <c r="GYZ34" s="713"/>
      <c r="GZA34" s="713"/>
      <c r="GZB34" s="713"/>
      <c r="GZC34" s="713"/>
      <c r="GZD34" s="713"/>
      <c r="GZE34" s="713"/>
      <c r="GZF34" s="713"/>
      <c r="GZG34" s="713"/>
      <c r="GZH34" s="713"/>
      <c r="GZI34" s="713"/>
      <c r="GZJ34" s="713"/>
      <c r="GZK34" s="713"/>
      <c r="GZL34" s="713"/>
      <c r="GZM34" s="713"/>
      <c r="GZN34" s="713"/>
      <c r="GZO34" s="713"/>
      <c r="GZP34" s="713"/>
      <c r="GZQ34" s="713"/>
      <c r="GZR34" s="713"/>
      <c r="GZS34" s="713"/>
      <c r="GZT34" s="713"/>
      <c r="GZU34" s="713"/>
      <c r="GZV34" s="713"/>
      <c r="GZW34" s="713"/>
      <c r="GZX34" s="713"/>
      <c r="GZY34" s="713"/>
      <c r="GZZ34" s="713"/>
      <c r="HAA34" s="713"/>
      <c r="HAB34" s="713"/>
      <c r="HAC34" s="713"/>
      <c r="HAD34" s="713"/>
      <c r="HAE34" s="713"/>
      <c r="HAF34" s="713"/>
      <c r="HAG34" s="713"/>
      <c r="HAH34" s="713"/>
      <c r="HAI34" s="713"/>
      <c r="HAJ34" s="713"/>
      <c r="HAK34" s="713"/>
      <c r="HAL34" s="713"/>
      <c r="HAM34" s="713"/>
      <c r="HAN34" s="713"/>
      <c r="HAO34" s="713"/>
      <c r="HAP34" s="713"/>
      <c r="HAQ34" s="713"/>
      <c r="HAR34" s="713"/>
      <c r="HAS34" s="713"/>
      <c r="HAT34" s="713"/>
      <c r="HAU34" s="713"/>
      <c r="HAV34" s="713"/>
      <c r="HAW34" s="713"/>
      <c r="HAX34" s="713"/>
      <c r="HAY34" s="713"/>
      <c r="HAZ34" s="713"/>
      <c r="HBA34" s="713"/>
      <c r="HBB34" s="713"/>
      <c r="HBC34" s="713"/>
      <c r="HBD34" s="713"/>
      <c r="HBE34" s="713"/>
      <c r="HBF34" s="713"/>
      <c r="HBG34" s="713"/>
      <c r="HBH34" s="713"/>
      <c r="HBI34" s="713"/>
      <c r="HBJ34" s="713"/>
      <c r="HBK34" s="713"/>
      <c r="HBL34" s="713"/>
      <c r="HBM34" s="713"/>
      <c r="HBN34" s="713"/>
      <c r="HBO34" s="713"/>
      <c r="HBP34" s="713"/>
      <c r="HBQ34" s="713"/>
      <c r="HBR34" s="713"/>
      <c r="HBS34" s="713"/>
      <c r="HBT34" s="713"/>
      <c r="HBU34" s="713"/>
      <c r="HBV34" s="713"/>
      <c r="HBW34" s="713"/>
      <c r="HBX34" s="713"/>
      <c r="HBY34" s="713"/>
      <c r="HBZ34" s="713"/>
      <c r="HCA34" s="713"/>
      <c r="HCB34" s="713"/>
      <c r="HCC34" s="713"/>
      <c r="HCD34" s="713"/>
      <c r="HCE34" s="713"/>
      <c r="HCF34" s="713"/>
      <c r="HCG34" s="713"/>
      <c r="HCH34" s="713"/>
      <c r="HCI34" s="713"/>
      <c r="HCJ34" s="713"/>
      <c r="HCK34" s="713"/>
      <c r="HCL34" s="713"/>
      <c r="HCM34" s="713"/>
      <c r="HCN34" s="713"/>
      <c r="HCO34" s="713"/>
      <c r="HCP34" s="713"/>
      <c r="HCQ34" s="713"/>
      <c r="HCR34" s="713"/>
      <c r="HCS34" s="713"/>
      <c r="HCT34" s="713"/>
      <c r="HCU34" s="713"/>
      <c r="HCV34" s="713"/>
      <c r="HCW34" s="713"/>
      <c r="HCX34" s="713"/>
      <c r="HCY34" s="713"/>
      <c r="HCZ34" s="713"/>
      <c r="HDA34" s="713"/>
      <c r="HDB34" s="713"/>
      <c r="HDC34" s="713"/>
      <c r="HDD34" s="713"/>
      <c r="HDE34" s="713"/>
      <c r="HDF34" s="713"/>
      <c r="HDG34" s="713"/>
      <c r="HDH34" s="713"/>
      <c r="HDI34" s="713"/>
      <c r="HDJ34" s="713"/>
      <c r="HDK34" s="713"/>
      <c r="HDL34" s="713"/>
      <c r="HDM34" s="713"/>
      <c r="HDN34" s="713"/>
      <c r="HDO34" s="713"/>
      <c r="HDP34" s="713"/>
      <c r="HDQ34" s="713"/>
      <c r="HDR34" s="713"/>
      <c r="HDS34" s="713"/>
      <c r="HDT34" s="713"/>
      <c r="HDU34" s="713"/>
      <c r="HDV34" s="713"/>
      <c r="HDW34" s="713"/>
      <c r="HDX34" s="713"/>
      <c r="HDY34" s="713"/>
      <c r="HDZ34" s="713"/>
      <c r="HEA34" s="713"/>
      <c r="HEB34" s="713"/>
      <c r="HEC34" s="713"/>
      <c r="HED34" s="713"/>
      <c r="HEE34" s="713"/>
      <c r="HEF34" s="713"/>
      <c r="HEG34" s="713"/>
      <c r="HEH34" s="713"/>
      <c r="HEI34" s="713"/>
      <c r="HEJ34" s="713"/>
      <c r="HEK34" s="713"/>
      <c r="HEL34" s="713"/>
      <c r="HEM34" s="713"/>
      <c r="HEN34" s="713"/>
      <c r="HEO34" s="713"/>
      <c r="HEP34" s="713"/>
      <c r="HEQ34" s="713"/>
      <c r="HER34" s="713"/>
      <c r="HES34" s="713"/>
      <c r="HET34" s="713"/>
      <c r="HEU34" s="713"/>
      <c r="HEV34" s="713"/>
      <c r="HEW34" s="713"/>
      <c r="HEX34" s="713"/>
      <c r="HEY34" s="713"/>
      <c r="HEZ34" s="713"/>
      <c r="HFA34" s="713"/>
      <c r="HFB34" s="713"/>
      <c r="HFC34" s="713"/>
      <c r="HFD34" s="713"/>
      <c r="HFE34" s="713"/>
      <c r="HFF34" s="713"/>
      <c r="HFG34" s="713"/>
      <c r="HFH34" s="713"/>
      <c r="HFI34" s="713"/>
      <c r="HFJ34" s="713"/>
      <c r="HFK34" s="713"/>
      <c r="HFL34" s="713"/>
      <c r="HFM34" s="713"/>
      <c r="HFN34" s="713"/>
      <c r="HFO34" s="713"/>
      <c r="HFP34" s="713"/>
      <c r="HFQ34" s="713"/>
      <c r="HFR34" s="713"/>
      <c r="HFS34" s="713"/>
      <c r="HFT34" s="713"/>
      <c r="HFU34" s="713"/>
      <c r="HFV34" s="713"/>
      <c r="HFW34" s="713"/>
      <c r="HFX34" s="713"/>
      <c r="HFY34" s="713"/>
      <c r="HFZ34" s="713"/>
      <c r="HGA34" s="713"/>
      <c r="HGB34" s="713"/>
      <c r="HGC34" s="713"/>
      <c r="HGD34" s="713"/>
      <c r="HGE34" s="713"/>
      <c r="HGF34" s="713"/>
      <c r="HGG34" s="713"/>
      <c r="HGH34" s="713"/>
      <c r="HGI34" s="713"/>
      <c r="HGJ34" s="713"/>
      <c r="HGK34" s="713"/>
      <c r="HGL34" s="713"/>
      <c r="HGM34" s="713"/>
      <c r="HGN34" s="713"/>
      <c r="HGO34" s="713"/>
      <c r="HGP34" s="713"/>
      <c r="HGQ34" s="713"/>
      <c r="HGR34" s="713"/>
      <c r="HGS34" s="713"/>
      <c r="HGT34" s="713"/>
      <c r="HGU34" s="713"/>
      <c r="HGV34" s="713"/>
      <c r="HGW34" s="713"/>
      <c r="HGX34" s="713"/>
      <c r="HGY34" s="713"/>
      <c r="HGZ34" s="713"/>
      <c r="HHA34" s="713"/>
      <c r="HHB34" s="713"/>
      <c r="HHC34" s="713"/>
      <c r="HHD34" s="713"/>
      <c r="HHE34" s="713"/>
      <c r="HHF34" s="713"/>
      <c r="HHG34" s="713"/>
      <c r="HHH34" s="713"/>
      <c r="HHI34" s="713"/>
      <c r="HHJ34" s="713"/>
      <c r="HHK34" s="713"/>
      <c r="HHL34" s="713"/>
      <c r="HHM34" s="713"/>
      <c r="HHN34" s="713"/>
      <c r="HHO34" s="713"/>
      <c r="HHP34" s="713"/>
      <c r="HHQ34" s="713"/>
      <c r="HHR34" s="713"/>
      <c r="HHS34" s="713"/>
      <c r="HHT34" s="713"/>
      <c r="HHU34" s="713"/>
      <c r="HHV34" s="713"/>
      <c r="HHW34" s="713"/>
      <c r="HHX34" s="713"/>
      <c r="HHY34" s="713"/>
      <c r="HHZ34" s="713"/>
      <c r="HIA34" s="713"/>
      <c r="HIB34" s="713"/>
      <c r="HIC34" s="713"/>
      <c r="HID34" s="713"/>
      <c r="HIE34" s="713"/>
      <c r="HIF34" s="713"/>
      <c r="HIG34" s="713"/>
      <c r="HIH34" s="713"/>
      <c r="HII34" s="713"/>
      <c r="HIJ34" s="713"/>
      <c r="HIK34" s="713"/>
      <c r="HIL34" s="713"/>
      <c r="HIM34" s="713"/>
      <c r="HIN34" s="713"/>
      <c r="HIO34" s="713"/>
      <c r="HIP34" s="713"/>
      <c r="HIQ34" s="713"/>
      <c r="HIR34" s="713"/>
      <c r="HIS34" s="713"/>
      <c r="HIT34" s="713"/>
      <c r="HIU34" s="713"/>
      <c r="HIV34" s="713"/>
      <c r="HIW34" s="713"/>
      <c r="HIX34" s="713"/>
      <c r="HIY34" s="713"/>
      <c r="HIZ34" s="713"/>
      <c r="HJA34" s="713"/>
      <c r="HJB34" s="713"/>
      <c r="HJC34" s="713"/>
      <c r="HJD34" s="713"/>
      <c r="HJE34" s="713"/>
      <c r="HJF34" s="713"/>
      <c r="HJG34" s="713"/>
      <c r="HJH34" s="713"/>
      <c r="HJI34" s="713"/>
      <c r="HJJ34" s="713"/>
      <c r="HJK34" s="713"/>
      <c r="HJL34" s="713"/>
      <c r="HJM34" s="713"/>
      <c r="HJN34" s="713"/>
      <c r="HJO34" s="713"/>
      <c r="HJP34" s="713"/>
      <c r="HJQ34" s="713"/>
      <c r="HJR34" s="713"/>
      <c r="HJS34" s="713"/>
      <c r="HJT34" s="713"/>
      <c r="HJU34" s="713"/>
      <c r="HJV34" s="713"/>
      <c r="HJW34" s="713"/>
      <c r="HJX34" s="713"/>
      <c r="HJY34" s="713"/>
      <c r="HJZ34" s="713"/>
      <c r="HKA34" s="713"/>
      <c r="HKB34" s="713"/>
      <c r="HKC34" s="713"/>
      <c r="HKD34" s="713"/>
      <c r="HKE34" s="713"/>
      <c r="HKF34" s="713"/>
      <c r="HKG34" s="713"/>
      <c r="HKH34" s="713"/>
      <c r="HKI34" s="713"/>
      <c r="HKJ34" s="713"/>
      <c r="HKK34" s="713"/>
      <c r="HKL34" s="713"/>
      <c r="HKM34" s="713"/>
      <c r="HKN34" s="713"/>
      <c r="HKO34" s="713"/>
      <c r="HKP34" s="713"/>
      <c r="HKQ34" s="713"/>
      <c r="HKR34" s="713"/>
      <c r="HKS34" s="713"/>
      <c r="HKT34" s="713"/>
      <c r="HKU34" s="713"/>
      <c r="HKV34" s="713"/>
      <c r="HKW34" s="713"/>
      <c r="HKX34" s="713"/>
      <c r="HKY34" s="713"/>
      <c r="HKZ34" s="713"/>
      <c r="HLA34" s="713"/>
      <c r="HLB34" s="713"/>
      <c r="HLC34" s="713"/>
      <c r="HLD34" s="713"/>
      <c r="HLE34" s="713"/>
      <c r="HLF34" s="713"/>
      <c r="HLG34" s="713"/>
      <c r="HLH34" s="713"/>
      <c r="HLI34" s="713"/>
      <c r="HLJ34" s="713"/>
      <c r="HLK34" s="713"/>
      <c r="HLL34" s="713"/>
      <c r="HLM34" s="713"/>
      <c r="HLN34" s="713"/>
      <c r="HLO34" s="713"/>
      <c r="HLP34" s="713"/>
      <c r="HLQ34" s="713"/>
      <c r="HLR34" s="713"/>
      <c r="HLS34" s="713"/>
      <c r="HLT34" s="713"/>
      <c r="HLU34" s="713"/>
      <c r="HLV34" s="713"/>
      <c r="HLW34" s="713"/>
      <c r="HLX34" s="713"/>
      <c r="HLY34" s="713"/>
      <c r="HLZ34" s="713"/>
      <c r="HMA34" s="713"/>
      <c r="HMB34" s="713"/>
      <c r="HMC34" s="713"/>
      <c r="HMD34" s="713"/>
      <c r="HME34" s="713"/>
      <c r="HMF34" s="713"/>
      <c r="HMG34" s="713"/>
      <c r="HMH34" s="713"/>
      <c r="HMI34" s="713"/>
      <c r="HMJ34" s="713"/>
      <c r="HMK34" s="713"/>
      <c r="HML34" s="713"/>
      <c r="HMM34" s="713"/>
      <c r="HMN34" s="713"/>
      <c r="HMO34" s="713"/>
      <c r="HMP34" s="713"/>
      <c r="HMQ34" s="713"/>
      <c r="HMR34" s="713"/>
      <c r="HMS34" s="713"/>
      <c r="HMT34" s="713"/>
      <c r="HMU34" s="713"/>
      <c r="HMV34" s="713"/>
      <c r="HMW34" s="713"/>
      <c r="HMX34" s="713"/>
      <c r="HMY34" s="713"/>
      <c r="HMZ34" s="713"/>
      <c r="HNA34" s="713"/>
      <c r="HNB34" s="713"/>
      <c r="HNC34" s="713"/>
      <c r="HND34" s="713"/>
      <c r="HNE34" s="713"/>
      <c r="HNF34" s="713"/>
      <c r="HNG34" s="713"/>
      <c r="HNH34" s="713"/>
      <c r="HNI34" s="713"/>
      <c r="HNJ34" s="713"/>
      <c r="HNK34" s="713"/>
      <c r="HNL34" s="713"/>
      <c r="HNM34" s="713"/>
      <c r="HNN34" s="713"/>
      <c r="HNO34" s="713"/>
      <c r="HNP34" s="713"/>
      <c r="HNQ34" s="713"/>
      <c r="HNR34" s="713"/>
      <c r="HNS34" s="713"/>
      <c r="HNT34" s="713"/>
      <c r="HNU34" s="713"/>
      <c r="HNV34" s="713"/>
      <c r="HNW34" s="713"/>
      <c r="HNX34" s="713"/>
      <c r="HNY34" s="713"/>
      <c r="HNZ34" s="713"/>
      <c r="HOA34" s="713"/>
      <c r="HOB34" s="713"/>
      <c r="HOC34" s="713"/>
      <c r="HOD34" s="713"/>
      <c r="HOE34" s="713"/>
      <c r="HOF34" s="713"/>
      <c r="HOG34" s="713"/>
      <c r="HOH34" s="713"/>
      <c r="HOI34" s="713"/>
      <c r="HOJ34" s="713"/>
      <c r="HOK34" s="713"/>
      <c r="HOL34" s="713"/>
      <c r="HOM34" s="713"/>
      <c r="HON34" s="713"/>
      <c r="HOO34" s="713"/>
      <c r="HOP34" s="713"/>
      <c r="HOQ34" s="713"/>
      <c r="HOR34" s="713"/>
      <c r="HOS34" s="713"/>
      <c r="HOT34" s="713"/>
      <c r="HOU34" s="713"/>
      <c r="HOV34" s="713"/>
      <c r="HOW34" s="713"/>
      <c r="HOX34" s="713"/>
      <c r="HOY34" s="713"/>
      <c r="HOZ34" s="713"/>
      <c r="HPA34" s="713"/>
      <c r="HPB34" s="713"/>
      <c r="HPC34" s="713"/>
      <c r="HPD34" s="713"/>
      <c r="HPE34" s="713"/>
      <c r="HPF34" s="713"/>
      <c r="HPG34" s="713"/>
      <c r="HPH34" s="713"/>
      <c r="HPI34" s="713"/>
      <c r="HPJ34" s="713"/>
      <c r="HPK34" s="713"/>
      <c r="HPL34" s="713"/>
      <c r="HPM34" s="713"/>
      <c r="HPN34" s="713"/>
      <c r="HPO34" s="713"/>
      <c r="HPP34" s="713"/>
      <c r="HPQ34" s="713"/>
      <c r="HPR34" s="713"/>
      <c r="HPS34" s="713"/>
      <c r="HPT34" s="713"/>
      <c r="HPU34" s="713"/>
      <c r="HPV34" s="713"/>
      <c r="HPW34" s="713"/>
      <c r="HPX34" s="713"/>
      <c r="HPY34" s="713"/>
      <c r="HPZ34" s="713"/>
      <c r="HQA34" s="713"/>
      <c r="HQB34" s="713"/>
      <c r="HQC34" s="713"/>
      <c r="HQD34" s="713"/>
      <c r="HQE34" s="713"/>
      <c r="HQF34" s="713"/>
      <c r="HQG34" s="713"/>
      <c r="HQH34" s="713"/>
      <c r="HQI34" s="713"/>
      <c r="HQJ34" s="713"/>
      <c r="HQK34" s="713"/>
      <c r="HQL34" s="713"/>
      <c r="HQM34" s="713"/>
      <c r="HQN34" s="713"/>
      <c r="HQO34" s="713"/>
      <c r="HQP34" s="713"/>
      <c r="HQQ34" s="713"/>
      <c r="HQR34" s="713"/>
      <c r="HQS34" s="713"/>
      <c r="HQT34" s="713"/>
      <c r="HQU34" s="713"/>
      <c r="HQV34" s="713"/>
      <c r="HQW34" s="713"/>
      <c r="HQX34" s="713"/>
      <c r="HQY34" s="713"/>
      <c r="HQZ34" s="713"/>
      <c r="HRA34" s="713"/>
      <c r="HRB34" s="713"/>
      <c r="HRC34" s="713"/>
      <c r="HRD34" s="713"/>
      <c r="HRE34" s="713"/>
      <c r="HRF34" s="713"/>
      <c r="HRG34" s="713"/>
      <c r="HRH34" s="713"/>
      <c r="HRI34" s="713"/>
      <c r="HRJ34" s="713"/>
      <c r="HRK34" s="713"/>
      <c r="HRL34" s="713"/>
      <c r="HRM34" s="713"/>
      <c r="HRN34" s="713"/>
      <c r="HRO34" s="713"/>
      <c r="HRP34" s="713"/>
      <c r="HRQ34" s="713"/>
      <c r="HRR34" s="713"/>
      <c r="HRS34" s="713"/>
      <c r="HRT34" s="713"/>
      <c r="HRU34" s="713"/>
      <c r="HRV34" s="713"/>
      <c r="HRW34" s="713"/>
      <c r="HRX34" s="713"/>
      <c r="HRY34" s="713"/>
      <c r="HRZ34" s="713"/>
      <c r="HSA34" s="713"/>
      <c r="HSB34" s="713"/>
      <c r="HSC34" s="713"/>
      <c r="HSD34" s="713"/>
      <c r="HSE34" s="713"/>
      <c r="HSF34" s="713"/>
      <c r="HSG34" s="713"/>
      <c r="HSH34" s="713"/>
      <c r="HSI34" s="713"/>
      <c r="HSJ34" s="713"/>
      <c r="HSK34" s="713"/>
      <c r="HSL34" s="713"/>
      <c r="HSM34" s="713"/>
      <c r="HSN34" s="713"/>
      <c r="HSO34" s="713"/>
      <c r="HSP34" s="713"/>
      <c r="HSQ34" s="713"/>
      <c r="HSR34" s="713"/>
      <c r="HSS34" s="713"/>
      <c r="HST34" s="713"/>
      <c r="HSU34" s="713"/>
      <c r="HSV34" s="713"/>
      <c r="HSW34" s="713"/>
      <c r="HSX34" s="713"/>
      <c r="HSY34" s="713"/>
      <c r="HSZ34" s="713"/>
      <c r="HTA34" s="713"/>
      <c r="HTB34" s="713"/>
      <c r="HTC34" s="713"/>
      <c r="HTD34" s="713"/>
      <c r="HTE34" s="713"/>
      <c r="HTF34" s="713"/>
      <c r="HTG34" s="713"/>
      <c r="HTH34" s="713"/>
      <c r="HTI34" s="713"/>
      <c r="HTJ34" s="713"/>
      <c r="HTK34" s="713"/>
      <c r="HTL34" s="713"/>
      <c r="HTM34" s="713"/>
      <c r="HTN34" s="713"/>
      <c r="HTO34" s="713"/>
      <c r="HTP34" s="713"/>
      <c r="HTQ34" s="713"/>
      <c r="HTR34" s="713"/>
      <c r="HTS34" s="713"/>
      <c r="HTT34" s="713"/>
      <c r="HTU34" s="713"/>
      <c r="HTV34" s="713"/>
      <c r="HTW34" s="713"/>
      <c r="HTX34" s="713"/>
      <c r="HTY34" s="713"/>
      <c r="HTZ34" s="713"/>
      <c r="HUA34" s="713"/>
      <c r="HUB34" s="713"/>
      <c r="HUC34" s="713"/>
      <c r="HUD34" s="713"/>
      <c r="HUE34" s="713"/>
      <c r="HUF34" s="713"/>
      <c r="HUG34" s="713"/>
      <c r="HUH34" s="713"/>
      <c r="HUI34" s="713"/>
      <c r="HUJ34" s="713"/>
      <c r="HUK34" s="713"/>
      <c r="HUL34" s="713"/>
      <c r="HUM34" s="713"/>
      <c r="HUN34" s="713"/>
      <c r="HUO34" s="713"/>
      <c r="HUP34" s="713"/>
      <c r="HUQ34" s="713"/>
      <c r="HUR34" s="713"/>
      <c r="HUS34" s="713"/>
      <c r="HUT34" s="713"/>
      <c r="HUU34" s="713"/>
      <c r="HUV34" s="713"/>
      <c r="HUW34" s="713"/>
      <c r="HUX34" s="713"/>
      <c r="HUY34" s="713"/>
      <c r="HUZ34" s="713"/>
      <c r="HVA34" s="713"/>
      <c r="HVB34" s="713"/>
      <c r="HVC34" s="713"/>
      <c r="HVD34" s="713"/>
      <c r="HVE34" s="713"/>
      <c r="HVF34" s="713"/>
      <c r="HVG34" s="713"/>
      <c r="HVH34" s="713"/>
      <c r="HVI34" s="713"/>
      <c r="HVJ34" s="713"/>
      <c r="HVK34" s="713"/>
      <c r="HVL34" s="713"/>
      <c r="HVM34" s="713"/>
      <c r="HVN34" s="713"/>
      <c r="HVO34" s="713"/>
      <c r="HVP34" s="713"/>
      <c r="HVQ34" s="713"/>
      <c r="HVR34" s="713"/>
      <c r="HVS34" s="713"/>
      <c r="HVT34" s="713"/>
      <c r="HVU34" s="713"/>
      <c r="HVV34" s="713"/>
      <c r="HVW34" s="713"/>
      <c r="HVX34" s="713"/>
      <c r="HVY34" s="713"/>
      <c r="HVZ34" s="713"/>
      <c r="HWA34" s="713"/>
      <c r="HWB34" s="713"/>
      <c r="HWC34" s="713"/>
      <c r="HWD34" s="713"/>
      <c r="HWE34" s="713"/>
      <c r="HWF34" s="713"/>
      <c r="HWG34" s="713"/>
      <c r="HWH34" s="713"/>
      <c r="HWI34" s="713"/>
      <c r="HWJ34" s="713"/>
      <c r="HWK34" s="713"/>
      <c r="HWL34" s="713"/>
      <c r="HWM34" s="713"/>
      <c r="HWN34" s="713"/>
      <c r="HWO34" s="713"/>
      <c r="HWP34" s="713"/>
      <c r="HWQ34" s="713"/>
      <c r="HWR34" s="713"/>
      <c r="HWS34" s="713"/>
      <c r="HWT34" s="713"/>
      <c r="HWU34" s="713"/>
      <c r="HWV34" s="713"/>
      <c r="HWW34" s="713"/>
      <c r="HWX34" s="713"/>
      <c r="HWY34" s="713"/>
      <c r="HWZ34" s="713"/>
      <c r="HXA34" s="713"/>
      <c r="HXB34" s="713"/>
      <c r="HXC34" s="713"/>
      <c r="HXD34" s="713"/>
      <c r="HXE34" s="713"/>
      <c r="HXF34" s="713"/>
      <c r="HXG34" s="713"/>
      <c r="HXH34" s="713"/>
      <c r="HXI34" s="713"/>
      <c r="HXJ34" s="713"/>
      <c r="HXK34" s="713"/>
      <c r="HXL34" s="713"/>
      <c r="HXM34" s="713"/>
      <c r="HXN34" s="713"/>
      <c r="HXO34" s="713"/>
      <c r="HXP34" s="713"/>
      <c r="HXQ34" s="713"/>
      <c r="HXR34" s="713"/>
      <c r="HXS34" s="713"/>
      <c r="HXT34" s="713"/>
      <c r="HXU34" s="713"/>
      <c r="HXV34" s="713"/>
      <c r="HXW34" s="713"/>
      <c r="HXX34" s="713"/>
      <c r="HXY34" s="713"/>
      <c r="HXZ34" s="713"/>
      <c r="HYA34" s="713"/>
      <c r="HYB34" s="713"/>
      <c r="HYC34" s="713"/>
      <c r="HYD34" s="713"/>
      <c r="HYE34" s="713"/>
      <c r="HYF34" s="713"/>
      <c r="HYG34" s="713"/>
      <c r="HYH34" s="713"/>
      <c r="HYI34" s="713"/>
      <c r="HYJ34" s="713"/>
      <c r="HYK34" s="713"/>
      <c r="HYL34" s="713"/>
      <c r="HYM34" s="713"/>
      <c r="HYN34" s="713"/>
      <c r="HYO34" s="713"/>
      <c r="HYP34" s="713"/>
      <c r="HYQ34" s="713"/>
      <c r="HYR34" s="713"/>
      <c r="HYS34" s="713"/>
      <c r="HYT34" s="713"/>
      <c r="HYU34" s="713"/>
      <c r="HYV34" s="713"/>
      <c r="HYW34" s="713"/>
      <c r="HYX34" s="713"/>
      <c r="HYY34" s="713"/>
      <c r="HYZ34" s="713"/>
      <c r="HZA34" s="713"/>
      <c r="HZB34" s="713"/>
      <c r="HZC34" s="713"/>
      <c r="HZD34" s="713"/>
      <c r="HZE34" s="713"/>
      <c r="HZF34" s="713"/>
      <c r="HZG34" s="713"/>
      <c r="HZH34" s="713"/>
      <c r="HZI34" s="713"/>
      <c r="HZJ34" s="713"/>
      <c r="HZK34" s="713"/>
      <c r="HZL34" s="713"/>
      <c r="HZM34" s="713"/>
      <c r="HZN34" s="713"/>
      <c r="HZO34" s="713"/>
      <c r="HZP34" s="713"/>
      <c r="HZQ34" s="713"/>
      <c r="HZR34" s="713"/>
      <c r="HZS34" s="713"/>
      <c r="HZT34" s="713"/>
      <c r="HZU34" s="713"/>
      <c r="HZV34" s="713"/>
      <c r="HZW34" s="713"/>
      <c r="HZX34" s="713"/>
      <c r="HZY34" s="713"/>
      <c r="HZZ34" s="713"/>
      <c r="IAA34" s="713"/>
      <c r="IAB34" s="713"/>
      <c r="IAC34" s="713"/>
      <c r="IAD34" s="713"/>
      <c r="IAE34" s="713"/>
      <c r="IAF34" s="713"/>
      <c r="IAG34" s="713"/>
      <c r="IAH34" s="713"/>
      <c r="IAI34" s="713"/>
      <c r="IAJ34" s="713"/>
      <c r="IAK34" s="713"/>
      <c r="IAL34" s="713"/>
      <c r="IAM34" s="713"/>
      <c r="IAN34" s="713"/>
      <c r="IAO34" s="713"/>
      <c r="IAP34" s="713"/>
      <c r="IAQ34" s="713"/>
      <c r="IAR34" s="713"/>
      <c r="IAS34" s="713"/>
      <c r="IAT34" s="713"/>
      <c r="IAU34" s="713"/>
      <c r="IAV34" s="713"/>
      <c r="IAW34" s="713"/>
      <c r="IAX34" s="713"/>
      <c r="IAY34" s="713"/>
      <c r="IAZ34" s="713"/>
      <c r="IBA34" s="713"/>
      <c r="IBB34" s="713"/>
      <c r="IBC34" s="713"/>
      <c r="IBD34" s="713"/>
      <c r="IBE34" s="713"/>
      <c r="IBF34" s="713"/>
      <c r="IBG34" s="713"/>
      <c r="IBH34" s="713"/>
      <c r="IBI34" s="713"/>
      <c r="IBJ34" s="713"/>
      <c r="IBK34" s="713"/>
      <c r="IBL34" s="713"/>
      <c r="IBM34" s="713"/>
      <c r="IBN34" s="713"/>
      <c r="IBO34" s="713"/>
      <c r="IBP34" s="713"/>
      <c r="IBQ34" s="713"/>
      <c r="IBR34" s="713"/>
      <c r="IBS34" s="713"/>
      <c r="IBT34" s="713"/>
      <c r="IBU34" s="713"/>
      <c r="IBV34" s="713"/>
      <c r="IBW34" s="713"/>
      <c r="IBX34" s="713"/>
      <c r="IBY34" s="713"/>
      <c r="IBZ34" s="713"/>
      <c r="ICA34" s="713"/>
      <c r="ICB34" s="713"/>
      <c r="ICC34" s="713"/>
      <c r="ICD34" s="713"/>
      <c r="ICE34" s="713"/>
      <c r="ICF34" s="713"/>
      <c r="ICG34" s="713"/>
      <c r="ICH34" s="713"/>
      <c r="ICI34" s="713"/>
      <c r="ICJ34" s="713"/>
      <c r="ICK34" s="713"/>
      <c r="ICL34" s="713"/>
      <c r="ICM34" s="713"/>
      <c r="ICN34" s="713"/>
      <c r="ICO34" s="713"/>
      <c r="ICP34" s="713"/>
      <c r="ICQ34" s="713"/>
      <c r="ICR34" s="713"/>
      <c r="ICS34" s="713"/>
      <c r="ICT34" s="713"/>
      <c r="ICU34" s="713"/>
      <c r="ICV34" s="713"/>
      <c r="ICW34" s="713"/>
      <c r="ICX34" s="713"/>
      <c r="ICY34" s="713"/>
      <c r="ICZ34" s="713"/>
      <c r="IDA34" s="713"/>
      <c r="IDB34" s="713"/>
      <c r="IDC34" s="713"/>
      <c r="IDD34" s="713"/>
      <c r="IDE34" s="713"/>
      <c r="IDF34" s="713"/>
      <c r="IDG34" s="713"/>
      <c r="IDH34" s="713"/>
      <c r="IDI34" s="713"/>
      <c r="IDJ34" s="713"/>
      <c r="IDK34" s="713"/>
      <c r="IDL34" s="713"/>
      <c r="IDM34" s="713"/>
      <c r="IDN34" s="713"/>
      <c r="IDO34" s="713"/>
      <c r="IDP34" s="713"/>
      <c r="IDQ34" s="713"/>
      <c r="IDR34" s="713"/>
      <c r="IDS34" s="713"/>
      <c r="IDT34" s="713"/>
      <c r="IDU34" s="713"/>
      <c r="IDV34" s="713"/>
      <c r="IDW34" s="713"/>
      <c r="IDX34" s="713"/>
      <c r="IDY34" s="713"/>
      <c r="IDZ34" s="713"/>
      <c r="IEA34" s="713"/>
      <c r="IEB34" s="713"/>
      <c r="IEC34" s="713"/>
      <c r="IED34" s="713"/>
      <c r="IEE34" s="713"/>
      <c r="IEF34" s="713"/>
      <c r="IEG34" s="713"/>
      <c r="IEH34" s="713"/>
      <c r="IEI34" s="713"/>
      <c r="IEJ34" s="713"/>
      <c r="IEK34" s="713"/>
      <c r="IEL34" s="713"/>
      <c r="IEM34" s="713"/>
      <c r="IEN34" s="713"/>
      <c r="IEO34" s="713"/>
      <c r="IEP34" s="713"/>
      <c r="IEQ34" s="713"/>
      <c r="IER34" s="713"/>
      <c r="IES34" s="713"/>
      <c r="IET34" s="713"/>
      <c r="IEU34" s="713"/>
      <c r="IEV34" s="713"/>
      <c r="IEW34" s="713"/>
      <c r="IEX34" s="713"/>
      <c r="IEY34" s="713"/>
      <c r="IEZ34" s="713"/>
      <c r="IFA34" s="713"/>
      <c r="IFB34" s="713"/>
      <c r="IFC34" s="713"/>
      <c r="IFD34" s="713"/>
      <c r="IFE34" s="713"/>
      <c r="IFF34" s="713"/>
      <c r="IFG34" s="713"/>
      <c r="IFH34" s="713"/>
      <c r="IFI34" s="713"/>
      <c r="IFJ34" s="713"/>
      <c r="IFK34" s="713"/>
      <c r="IFL34" s="713"/>
      <c r="IFM34" s="713"/>
      <c r="IFN34" s="713"/>
      <c r="IFO34" s="713"/>
      <c r="IFP34" s="713"/>
      <c r="IFQ34" s="713"/>
      <c r="IFR34" s="713"/>
      <c r="IFS34" s="713"/>
      <c r="IFT34" s="713"/>
      <c r="IFU34" s="713"/>
      <c r="IFV34" s="713"/>
      <c r="IFW34" s="713"/>
      <c r="IFX34" s="713"/>
      <c r="IFY34" s="713"/>
      <c r="IFZ34" s="713"/>
      <c r="IGA34" s="713"/>
      <c r="IGB34" s="713"/>
      <c r="IGC34" s="713"/>
      <c r="IGD34" s="713"/>
      <c r="IGE34" s="713"/>
      <c r="IGF34" s="713"/>
      <c r="IGG34" s="713"/>
      <c r="IGH34" s="713"/>
      <c r="IGI34" s="713"/>
      <c r="IGJ34" s="713"/>
      <c r="IGK34" s="713"/>
      <c r="IGL34" s="713"/>
      <c r="IGM34" s="713"/>
      <c r="IGN34" s="713"/>
      <c r="IGO34" s="713"/>
      <c r="IGP34" s="713"/>
      <c r="IGQ34" s="713"/>
      <c r="IGR34" s="713"/>
      <c r="IGS34" s="713"/>
      <c r="IGT34" s="713"/>
      <c r="IGU34" s="713"/>
      <c r="IGV34" s="713"/>
      <c r="IGW34" s="713"/>
      <c r="IGX34" s="713"/>
      <c r="IGY34" s="713"/>
      <c r="IGZ34" s="713"/>
      <c r="IHA34" s="713"/>
      <c r="IHB34" s="713"/>
      <c r="IHC34" s="713"/>
      <c r="IHD34" s="713"/>
      <c r="IHE34" s="713"/>
      <c r="IHF34" s="713"/>
      <c r="IHG34" s="713"/>
      <c r="IHH34" s="713"/>
      <c r="IHI34" s="713"/>
      <c r="IHJ34" s="713"/>
      <c r="IHK34" s="713"/>
      <c r="IHL34" s="713"/>
      <c r="IHM34" s="713"/>
      <c r="IHN34" s="713"/>
      <c r="IHO34" s="713"/>
      <c r="IHP34" s="713"/>
      <c r="IHQ34" s="713"/>
      <c r="IHR34" s="713"/>
      <c r="IHS34" s="713"/>
      <c r="IHT34" s="713"/>
      <c r="IHU34" s="713"/>
      <c r="IHV34" s="713"/>
      <c r="IHW34" s="713"/>
      <c r="IHX34" s="713"/>
      <c r="IHY34" s="713"/>
      <c r="IHZ34" s="713"/>
      <c r="IIA34" s="713"/>
      <c r="IIB34" s="713"/>
      <c r="IIC34" s="713"/>
      <c r="IID34" s="713"/>
      <c r="IIE34" s="713"/>
      <c r="IIF34" s="713"/>
      <c r="IIG34" s="713"/>
      <c r="IIH34" s="713"/>
      <c r="III34" s="713"/>
      <c r="IIJ34" s="713"/>
      <c r="IIK34" s="713"/>
      <c r="IIL34" s="713"/>
      <c r="IIM34" s="713"/>
      <c r="IIN34" s="713"/>
      <c r="IIO34" s="713"/>
      <c r="IIP34" s="713"/>
      <c r="IIQ34" s="713"/>
      <c r="IIR34" s="713"/>
      <c r="IIS34" s="713"/>
      <c r="IIT34" s="713"/>
      <c r="IIU34" s="713"/>
      <c r="IIV34" s="713"/>
      <c r="IIW34" s="713"/>
      <c r="IIX34" s="713"/>
      <c r="IIY34" s="713"/>
      <c r="IIZ34" s="713"/>
      <c r="IJA34" s="713"/>
      <c r="IJB34" s="713"/>
      <c r="IJC34" s="713"/>
      <c r="IJD34" s="713"/>
      <c r="IJE34" s="713"/>
      <c r="IJF34" s="713"/>
      <c r="IJG34" s="713"/>
      <c r="IJH34" s="713"/>
      <c r="IJI34" s="713"/>
      <c r="IJJ34" s="713"/>
      <c r="IJK34" s="713"/>
      <c r="IJL34" s="713"/>
      <c r="IJM34" s="713"/>
      <c r="IJN34" s="713"/>
      <c r="IJO34" s="713"/>
      <c r="IJP34" s="713"/>
      <c r="IJQ34" s="713"/>
      <c r="IJR34" s="713"/>
      <c r="IJS34" s="713"/>
      <c r="IJT34" s="713"/>
      <c r="IJU34" s="713"/>
      <c r="IJV34" s="713"/>
      <c r="IJW34" s="713"/>
      <c r="IJX34" s="713"/>
      <c r="IJY34" s="713"/>
      <c r="IJZ34" s="713"/>
      <c r="IKA34" s="713"/>
      <c r="IKB34" s="713"/>
      <c r="IKC34" s="713"/>
      <c r="IKD34" s="713"/>
      <c r="IKE34" s="713"/>
      <c r="IKF34" s="713"/>
      <c r="IKG34" s="713"/>
      <c r="IKH34" s="713"/>
      <c r="IKI34" s="713"/>
      <c r="IKJ34" s="713"/>
      <c r="IKK34" s="713"/>
      <c r="IKL34" s="713"/>
      <c r="IKM34" s="713"/>
      <c r="IKN34" s="713"/>
      <c r="IKO34" s="713"/>
      <c r="IKP34" s="713"/>
      <c r="IKQ34" s="713"/>
      <c r="IKR34" s="713"/>
      <c r="IKS34" s="713"/>
      <c r="IKT34" s="713"/>
      <c r="IKU34" s="713"/>
      <c r="IKV34" s="713"/>
      <c r="IKW34" s="713"/>
      <c r="IKX34" s="713"/>
      <c r="IKY34" s="713"/>
      <c r="IKZ34" s="713"/>
      <c r="ILA34" s="713"/>
      <c r="ILB34" s="713"/>
      <c r="ILC34" s="713"/>
      <c r="ILD34" s="713"/>
      <c r="ILE34" s="713"/>
      <c r="ILF34" s="713"/>
      <c r="ILG34" s="713"/>
      <c r="ILH34" s="713"/>
      <c r="ILI34" s="713"/>
      <c r="ILJ34" s="713"/>
      <c r="ILK34" s="713"/>
      <c r="ILL34" s="713"/>
      <c r="ILM34" s="713"/>
      <c r="ILN34" s="713"/>
      <c r="ILO34" s="713"/>
      <c r="ILP34" s="713"/>
      <c r="ILQ34" s="713"/>
      <c r="ILR34" s="713"/>
      <c r="ILS34" s="713"/>
      <c r="ILT34" s="713"/>
      <c r="ILU34" s="713"/>
      <c r="ILV34" s="713"/>
      <c r="ILW34" s="713"/>
      <c r="ILX34" s="713"/>
      <c r="ILY34" s="713"/>
      <c r="ILZ34" s="713"/>
      <c r="IMA34" s="713"/>
      <c r="IMB34" s="713"/>
      <c r="IMC34" s="713"/>
      <c r="IMD34" s="713"/>
      <c r="IME34" s="713"/>
      <c r="IMF34" s="713"/>
      <c r="IMG34" s="713"/>
      <c r="IMH34" s="713"/>
      <c r="IMI34" s="713"/>
      <c r="IMJ34" s="713"/>
      <c r="IMK34" s="713"/>
      <c r="IML34" s="713"/>
      <c r="IMM34" s="713"/>
      <c r="IMN34" s="713"/>
      <c r="IMO34" s="713"/>
      <c r="IMP34" s="713"/>
      <c r="IMQ34" s="713"/>
      <c r="IMR34" s="713"/>
      <c r="IMS34" s="713"/>
      <c r="IMT34" s="713"/>
      <c r="IMU34" s="713"/>
      <c r="IMV34" s="713"/>
      <c r="IMW34" s="713"/>
      <c r="IMX34" s="713"/>
      <c r="IMY34" s="713"/>
      <c r="IMZ34" s="713"/>
      <c r="INA34" s="713"/>
      <c r="INB34" s="713"/>
      <c r="INC34" s="713"/>
      <c r="IND34" s="713"/>
      <c r="INE34" s="713"/>
      <c r="INF34" s="713"/>
      <c r="ING34" s="713"/>
      <c r="INH34" s="713"/>
      <c r="INI34" s="713"/>
      <c r="INJ34" s="713"/>
      <c r="INK34" s="713"/>
      <c r="INL34" s="713"/>
      <c r="INM34" s="713"/>
      <c r="INN34" s="713"/>
      <c r="INO34" s="713"/>
      <c r="INP34" s="713"/>
      <c r="INQ34" s="713"/>
      <c r="INR34" s="713"/>
      <c r="INS34" s="713"/>
      <c r="INT34" s="713"/>
      <c r="INU34" s="713"/>
      <c r="INV34" s="713"/>
      <c r="INW34" s="713"/>
      <c r="INX34" s="713"/>
      <c r="INY34" s="713"/>
      <c r="INZ34" s="713"/>
      <c r="IOA34" s="713"/>
      <c r="IOB34" s="713"/>
      <c r="IOC34" s="713"/>
      <c r="IOD34" s="713"/>
      <c r="IOE34" s="713"/>
      <c r="IOF34" s="713"/>
      <c r="IOG34" s="713"/>
      <c r="IOH34" s="713"/>
      <c r="IOI34" s="713"/>
      <c r="IOJ34" s="713"/>
      <c r="IOK34" s="713"/>
      <c r="IOL34" s="713"/>
      <c r="IOM34" s="713"/>
      <c r="ION34" s="713"/>
      <c r="IOO34" s="713"/>
      <c r="IOP34" s="713"/>
      <c r="IOQ34" s="713"/>
      <c r="IOR34" s="713"/>
      <c r="IOS34" s="713"/>
      <c r="IOT34" s="713"/>
      <c r="IOU34" s="713"/>
      <c r="IOV34" s="713"/>
      <c r="IOW34" s="713"/>
      <c r="IOX34" s="713"/>
      <c r="IOY34" s="713"/>
      <c r="IOZ34" s="713"/>
      <c r="IPA34" s="713"/>
      <c r="IPB34" s="713"/>
      <c r="IPC34" s="713"/>
      <c r="IPD34" s="713"/>
      <c r="IPE34" s="713"/>
      <c r="IPF34" s="713"/>
      <c r="IPG34" s="713"/>
      <c r="IPH34" s="713"/>
      <c r="IPI34" s="713"/>
      <c r="IPJ34" s="713"/>
      <c r="IPK34" s="713"/>
      <c r="IPL34" s="713"/>
      <c r="IPM34" s="713"/>
      <c r="IPN34" s="713"/>
      <c r="IPO34" s="713"/>
      <c r="IPP34" s="713"/>
      <c r="IPQ34" s="713"/>
      <c r="IPR34" s="713"/>
      <c r="IPS34" s="713"/>
      <c r="IPT34" s="713"/>
      <c r="IPU34" s="713"/>
      <c r="IPV34" s="713"/>
      <c r="IPW34" s="713"/>
      <c r="IPX34" s="713"/>
      <c r="IPY34" s="713"/>
      <c r="IPZ34" s="713"/>
      <c r="IQA34" s="713"/>
      <c r="IQB34" s="713"/>
      <c r="IQC34" s="713"/>
      <c r="IQD34" s="713"/>
      <c r="IQE34" s="713"/>
      <c r="IQF34" s="713"/>
      <c r="IQG34" s="713"/>
      <c r="IQH34" s="713"/>
      <c r="IQI34" s="713"/>
      <c r="IQJ34" s="713"/>
      <c r="IQK34" s="713"/>
      <c r="IQL34" s="713"/>
      <c r="IQM34" s="713"/>
      <c r="IQN34" s="713"/>
      <c r="IQO34" s="713"/>
      <c r="IQP34" s="713"/>
      <c r="IQQ34" s="713"/>
      <c r="IQR34" s="713"/>
      <c r="IQS34" s="713"/>
      <c r="IQT34" s="713"/>
      <c r="IQU34" s="713"/>
      <c r="IQV34" s="713"/>
      <c r="IQW34" s="713"/>
      <c r="IQX34" s="713"/>
      <c r="IQY34" s="713"/>
      <c r="IQZ34" s="713"/>
      <c r="IRA34" s="713"/>
      <c r="IRB34" s="713"/>
      <c r="IRC34" s="713"/>
      <c r="IRD34" s="713"/>
      <c r="IRE34" s="713"/>
      <c r="IRF34" s="713"/>
      <c r="IRG34" s="713"/>
      <c r="IRH34" s="713"/>
      <c r="IRI34" s="713"/>
      <c r="IRJ34" s="713"/>
      <c r="IRK34" s="713"/>
      <c r="IRL34" s="713"/>
      <c r="IRM34" s="713"/>
      <c r="IRN34" s="713"/>
      <c r="IRO34" s="713"/>
      <c r="IRP34" s="713"/>
      <c r="IRQ34" s="713"/>
      <c r="IRR34" s="713"/>
      <c r="IRS34" s="713"/>
      <c r="IRT34" s="713"/>
      <c r="IRU34" s="713"/>
      <c r="IRV34" s="713"/>
      <c r="IRW34" s="713"/>
      <c r="IRX34" s="713"/>
      <c r="IRY34" s="713"/>
      <c r="IRZ34" s="713"/>
      <c r="ISA34" s="713"/>
      <c r="ISB34" s="713"/>
      <c r="ISC34" s="713"/>
      <c r="ISD34" s="713"/>
      <c r="ISE34" s="713"/>
      <c r="ISF34" s="713"/>
      <c r="ISG34" s="713"/>
      <c r="ISH34" s="713"/>
      <c r="ISI34" s="713"/>
      <c r="ISJ34" s="713"/>
      <c r="ISK34" s="713"/>
      <c r="ISL34" s="713"/>
      <c r="ISM34" s="713"/>
      <c r="ISN34" s="713"/>
      <c r="ISO34" s="713"/>
      <c r="ISP34" s="713"/>
      <c r="ISQ34" s="713"/>
      <c r="ISR34" s="713"/>
      <c r="ISS34" s="713"/>
      <c r="IST34" s="713"/>
      <c r="ISU34" s="713"/>
      <c r="ISV34" s="713"/>
      <c r="ISW34" s="713"/>
      <c r="ISX34" s="713"/>
      <c r="ISY34" s="713"/>
      <c r="ISZ34" s="713"/>
      <c r="ITA34" s="713"/>
      <c r="ITB34" s="713"/>
      <c r="ITC34" s="713"/>
      <c r="ITD34" s="713"/>
      <c r="ITE34" s="713"/>
      <c r="ITF34" s="713"/>
      <c r="ITG34" s="713"/>
      <c r="ITH34" s="713"/>
      <c r="ITI34" s="713"/>
      <c r="ITJ34" s="713"/>
      <c r="ITK34" s="713"/>
      <c r="ITL34" s="713"/>
      <c r="ITM34" s="713"/>
      <c r="ITN34" s="713"/>
      <c r="ITO34" s="713"/>
      <c r="ITP34" s="713"/>
      <c r="ITQ34" s="713"/>
      <c r="ITR34" s="713"/>
      <c r="ITS34" s="713"/>
      <c r="ITT34" s="713"/>
      <c r="ITU34" s="713"/>
      <c r="ITV34" s="713"/>
      <c r="ITW34" s="713"/>
      <c r="ITX34" s="713"/>
      <c r="ITY34" s="713"/>
      <c r="ITZ34" s="713"/>
      <c r="IUA34" s="713"/>
      <c r="IUB34" s="713"/>
      <c r="IUC34" s="713"/>
      <c r="IUD34" s="713"/>
      <c r="IUE34" s="713"/>
      <c r="IUF34" s="713"/>
      <c r="IUG34" s="713"/>
      <c r="IUH34" s="713"/>
      <c r="IUI34" s="713"/>
      <c r="IUJ34" s="713"/>
      <c r="IUK34" s="713"/>
      <c r="IUL34" s="713"/>
      <c r="IUM34" s="713"/>
      <c r="IUN34" s="713"/>
      <c r="IUO34" s="713"/>
      <c r="IUP34" s="713"/>
      <c r="IUQ34" s="713"/>
      <c r="IUR34" s="713"/>
      <c r="IUS34" s="713"/>
      <c r="IUT34" s="713"/>
      <c r="IUU34" s="713"/>
      <c r="IUV34" s="713"/>
      <c r="IUW34" s="713"/>
      <c r="IUX34" s="713"/>
      <c r="IUY34" s="713"/>
      <c r="IUZ34" s="713"/>
      <c r="IVA34" s="713"/>
      <c r="IVB34" s="713"/>
      <c r="IVC34" s="713"/>
      <c r="IVD34" s="713"/>
      <c r="IVE34" s="713"/>
      <c r="IVF34" s="713"/>
      <c r="IVG34" s="713"/>
      <c r="IVH34" s="713"/>
      <c r="IVI34" s="713"/>
      <c r="IVJ34" s="713"/>
      <c r="IVK34" s="713"/>
      <c r="IVL34" s="713"/>
      <c r="IVM34" s="713"/>
      <c r="IVN34" s="713"/>
      <c r="IVO34" s="713"/>
      <c r="IVP34" s="713"/>
      <c r="IVQ34" s="713"/>
      <c r="IVR34" s="713"/>
      <c r="IVS34" s="713"/>
      <c r="IVT34" s="713"/>
      <c r="IVU34" s="713"/>
      <c r="IVV34" s="713"/>
      <c r="IVW34" s="713"/>
      <c r="IVX34" s="713"/>
      <c r="IVY34" s="713"/>
      <c r="IVZ34" s="713"/>
      <c r="IWA34" s="713"/>
      <c r="IWB34" s="713"/>
      <c r="IWC34" s="713"/>
      <c r="IWD34" s="713"/>
      <c r="IWE34" s="713"/>
      <c r="IWF34" s="713"/>
      <c r="IWG34" s="713"/>
      <c r="IWH34" s="713"/>
      <c r="IWI34" s="713"/>
      <c r="IWJ34" s="713"/>
      <c r="IWK34" s="713"/>
      <c r="IWL34" s="713"/>
      <c r="IWM34" s="713"/>
      <c r="IWN34" s="713"/>
      <c r="IWO34" s="713"/>
      <c r="IWP34" s="713"/>
      <c r="IWQ34" s="713"/>
      <c r="IWR34" s="713"/>
      <c r="IWS34" s="713"/>
      <c r="IWT34" s="713"/>
      <c r="IWU34" s="713"/>
      <c r="IWV34" s="713"/>
      <c r="IWW34" s="713"/>
      <c r="IWX34" s="713"/>
      <c r="IWY34" s="713"/>
      <c r="IWZ34" s="713"/>
      <c r="IXA34" s="713"/>
      <c r="IXB34" s="713"/>
      <c r="IXC34" s="713"/>
      <c r="IXD34" s="713"/>
      <c r="IXE34" s="713"/>
      <c r="IXF34" s="713"/>
      <c r="IXG34" s="713"/>
      <c r="IXH34" s="713"/>
      <c r="IXI34" s="713"/>
      <c r="IXJ34" s="713"/>
      <c r="IXK34" s="713"/>
      <c r="IXL34" s="713"/>
      <c r="IXM34" s="713"/>
      <c r="IXN34" s="713"/>
      <c r="IXO34" s="713"/>
      <c r="IXP34" s="713"/>
      <c r="IXQ34" s="713"/>
      <c r="IXR34" s="713"/>
      <c r="IXS34" s="713"/>
      <c r="IXT34" s="713"/>
      <c r="IXU34" s="713"/>
      <c r="IXV34" s="713"/>
      <c r="IXW34" s="713"/>
      <c r="IXX34" s="713"/>
      <c r="IXY34" s="713"/>
      <c r="IXZ34" s="713"/>
      <c r="IYA34" s="713"/>
      <c r="IYB34" s="713"/>
      <c r="IYC34" s="713"/>
      <c r="IYD34" s="713"/>
      <c r="IYE34" s="713"/>
      <c r="IYF34" s="713"/>
      <c r="IYG34" s="713"/>
      <c r="IYH34" s="713"/>
      <c r="IYI34" s="713"/>
      <c r="IYJ34" s="713"/>
      <c r="IYK34" s="713"/>
      <c r="IYL34" s="713"/>
      <c r="IYM34" s="713"/>
      <c r="IYN34" s="713"/>
      <c r="IYO34" s="713"/>
      <c r="IYP34" s="713"/>
      <c r="IYQ34" s="713"/>
      <c r="IYR34" s="713"/>
      <c r="IYS34" s="713"/>
      <c r="IYT34" s="713"/>
      <c r="IYU34" s="713"/>
      <c r="IYV34" s="713"/>
      <c r="IYW34" s="713"/>
      <c r="IYX34" s="713"/>
      <c r="IYY34" s="713"/>
      <c r="IYZ34" s="713"/>
      <c r="IZA34" s="713"/>
      <c r="IZB34" s="713"/>
      <c r="IZC34" s="713"/>
      <c r="IZD34" s="713"/>
      <c r="IZE34" s="713"/>
      <c r="IZF34" s="713"/>
      <c r="IZG34" s="713"/>
      <c r="IZH34" s="713"/>
      <c r="IZI34" s="713"/>
      <c r="IZJ34" s="713"/>
      <c r="IZK34" s="713"/>
      <c r="IZL34" s="713"/>
      <c r="IZM34" s="713"/>
      <c r="IZN34" s="713"/>
      <c r="IZO34" s="713"/>
      <c r="IZP34" s="713"/>
      <c r="IZQ34" s="713"/>
      <c r="IZR34" s="713"/>
      <c r="IZS34" s="713"/>
      <c r="IZT34" s="713"/>
      <c r="IZU34" s="713"/>
      <c r="IZV34" s="713"/>
      <c r="IZW34" s="713"/>
      <c r="IZX34" s="713"/>
      <c r="IZY34" s="713"/>
      <c r="IZZ34" s="713"/>
      <c r="JAA34" s="713"/>
      <c r="JAB34" s="713"/>
      <c r="JAC34" s="713"/>
      <c r="JAD34" s="713"/>
      <c r="JAE34" s="713"/>
      <c r="JAF34" s="713"/>
      <c r="JAG34" s="713"/>
      <c r="JAH34" s="713"/>
      <c r="JAI34" s="713"/>
      <c r="JAJ34" s="713"/>
      <c r="JAK34" s="713"/>
      <c r="JAL34" s="713"/>
      <c r="JAM34" s="713"/>
      <c r="JAN34" s="713"/>
      <c r="JAO34" s="713"/>
      <c r="JAP34" s="713"/>
      <c r="JAQ34" s="713"/>
      <c r="JAR34" s="713"/>
      <c r="JAS34" s="713"/>
      <c r="JAT34" s="713"/>
      <c r="JAU34" s="713"/>
      <c r="JAV34" s="713"/>
      <c r="JAW34" s="713"/>
      <c r="JAX34" s="713"/>
      <c r="JAY34" s="713"/>
      <c r="JAZ34" s="713"/>
      <c r="JBA34" s="713"/>
      <c r="JBB34" s="713"/>
      <c r="JBC34" s="713"/>
      <c r="JBD34" s="713"/>
      <c r="JBE34" s="713"/>
      <c r="JBF34" s="713"/>
      <c r="JBG34" s="713"/>
      <c r="JBH34" s="713"/>
      <c r="JBI34" s="713"/>
      <c r="JBJ34" s="713"/>
      <c r="JBK34" s="713"/>
      <c r="JBL34" s="713"/>
      <c r="JBM34" s="713"/>
      <c r="JBN34" s="713"/>
      <c r="JBO34" s="713"/>
      <c r="JBP34" s="713"/>
      <c r="JBQ34" s="713"/>
      <c r="JBR34" s="713"/>
      <c r="JBS34" s="713"/>
      <c r="JBT34" s="713"/>
      <c r="JBU34" s="713"/>
      <c r="JBV34" s="713"/>
      <c r="JBW34" s="713"/>
      <c r="JBX34" s="713"/>
      <c r="JBY34" s="713"/>
      <c r="JBZ34" s="713"/>
      <c r="JCA34" s="713"/>
      <c r="JCB34" s="713"/>
      <c r="JCC34" s="713"/>
      <c r="JCD34" s="713"/>
      <c r="JCE34" s="713"/>
      <c r="JCF34" s="713"/>
      <c r="JCG34" s="713"/>
      <c r="JCH34" s="713"/>
      <c r="JCI34" s="713"/>
      <c r="JCJ34" s="713"/>
      <c r="JCK34" s="713"/>
      <c r="JCL34" s="713"/>
      <c r="JCM34" s="713"/>
      <c r="JCN34" s="713"/>
      <c r="JCO34" s="713"/>
      <c r="JCP34" s="713"/>
      <c r="JCQ34" s="713"/>
      <c r="JCR34" s="713"/>
      <c r="JCS34" s="713"/>
      <c r="JCT34" s="713"/>
      <c r="JCU34" s="713"/>
      <c r="JCV34" s="713"/>
      <c r="JCW34" s="713"/>
      <c r="JCX34" s="713"/>
      <c r="JCY34" s="713"/>
      <c r="JCZ34" s="713"/>
      <c r="JDA34" s="713"/>
      <c r="JDB34" s="713"/>
      <c r="JDC34" s="713"/>
      <c r="JDD34" s="713"/>
      <c r="JDE34" s="713"/>
      <c r="JDF34" s="713"/>
      <c r="JDG34" s="713"/>
      <c r="JDH34" s="713"/>
      <c r="JDI34" s="713"/>
      <c r="JDJ34" s="713"/>
      <c r="JDK34" s="713"/>
      <c r="JDL34" s="713"/>
      <c r="JDM34" s="713"/>
      <c r="JDN34" s="713"/>
      <c r="JDO34" s="713"/>
      <c r="JDP34" s="713"/>
      <c r="JDQ34" s="713"/>
      <c r="JDR34" s="713"/>
      <c r="JDS34" s="713"/>
      <c r="JDT34" s="713"/>
      <c r="JDU34" s="713"/>
      <c r="JDV34" s="713"/>
      <c r="JDW34" s="713"/>
      <c r="JDX34" s="713"/>
      <c r="JDY34" s="713"/>
      <c r="JDZ34" s="713"/>
      <c r="JEA34" s="713"/>
      <c r="JEB34" s="713"/>
      <c r="JEC34" s="713"/>
      <c r="JED34" s="713"/>
      <c r="JEE34" s="713"/>
      <c r="JEF34" s="713"/>
      <c r="JEG34" s="713"/>
      <c r="JEH34" s="713"/>
      <c r="JEI34" s="713"/>
      <c r="JEJ34" s="713"/>
      <c r="JEK34" s="713"/>
      <c r="JEL34" s="713"/>
      <c r="JEM34" s="713"/>
      <c r="JEN34" s="713"/>
      <c r="JEO34" s="713"/>
      <c r="JEP34" s="713"/>
      <c r="JEQ34" s="713"/>
      <c r="JER34" s="713"/>
      <c r="JES34" s="713"/>
      <c r="JET34" s="713"/>
      <c r="JEU34" s="713"/>
      <c r="JEV34" s="713"/>
      <c r="JEW34" s="713"/>
      <c r="JEX34" s="713"/>
      <c r="JEY34" s="713"/>
      <c r="JEZ34" s="713"/>
      <c r="JFA34" s="713"/>
      <c r="JFB34" s="713"/>
      <c r="JFC34" s="713"/>
      <c r="JFD34" s="713"/>
      <c r="JFE34" s="713"/>
      <c r="JFF34" s="713"/>
      <c r="JFG34" s="713"/>
      <c r="JFH34" s="713"/>
      <c r="JFI34" s="713"/>
      <c r="JFJ34" s="713"/>
      <c r="JFK34" s="713"/>
      <c r="JFL34" s="713"/>
      <c r="JFM34" s="713"/>
      <c r="JFN34" s="713"/>
      <c r="JFO34" s="713"/>
      <c r="JFP34" s="713"/>
      <c r="JFQ34" s="713"/>
      <c r="JFR34" s="713"/>
      <c r="JFS34" s="713"/>
      <c r="JFT34" s="713"/>
      <c r="JFU34" s="713"/>
      <c r="JFV34" s="713"/>
      <c r="JFW34" s="713"/>
      <c r="JFX34" s="713"/>
      <c r="JFY34" s="713"/>
      <c r="JFZ34" s="713"/>
      <c r="JGA34" s="713"/>
      <c r="JGB34" s="713"/>
      <c r="JGC34" s="713"/>
      <c r="JGD34" s="713"/>
      <c r="JGE34" s="713"/>
      <c r="JGF34" s="713"/>
      <c r="JGG34" s="713"/>
      <c r="JGH34" s="713"/>
      <c r="JGI34" s="713"/>
      <c r="JGJ34" s="713"/>
      <c r="JGK34" s="713"/>
      <c r="JGL34" s="713"/>
      <c r="JGM34" s="713"/>
      <c r="JGN34" s="713"/>
      <c r="JGO34" s="713"/>
      <c r="JGP34" s="713"/>
      <c r="JGQ34" s="713"/>
      <c r="JGR34" s="713"/>
      <c r="JGS34" s="713"/>
      <c r="JGT34" s="713"/>
      <c r="JGU34" s="713"/>
      <c r="JGV34" s="713"/>
      <c r="JGW34" s="713"/>
      <c r="JGX34" s="713"/>
      <c r="JGY34" s="713"/>
      <c r="JGZ34" s="713"/>
      <c r="JHA34" s="713"/>
      <c r="JHB34" s="713"/>
      <c r="JHC34" s="713"/>
      <c r="JHD34" s="713"/>
      <c r="JHE34" s="713"/>
      <c r="JHF34" s="713"/>
      <c r="JHG34" s="713"/>
      <c r="JHH34" s="713"/>
      <c r="JHI34" s="713"/>
      <c r="JHJ34" s="713"/>
      <c r="JHK34" s="713"/>
      <c r="JHL34" s="713"/>
      <c r="JHM34" s="713"/>
      <c r="JHN34" s="713"/>
      <c r="JHO34" s="713"/>
      <c r="JHP34" s="713"/>
      <c r="JHQ34" s="713"/>
      <c r="JHR34" s="713"/>
      <c r="JHS34" s="713"/>
      <c r="JHT34" s="713"/>
      <c r="JHU34" s="713"/>
      <c r="JHV34" s="713"/>
      <c r="JHW34" s="713"/>
      <c r="JHX34" s="713"/>
      <c r="JHY34" s="713"/>
      <c r="JHZ34" s="713"/>
      <c r="JIA34" s="713"/>
      <c r="JIB34" s="713"/>
      <c r="JIC34" s="713"/>
      <c r="JID34" s="713"/>
      <c r="JIE34" s="713"/>
      <c r="JIF34" s="713"/>
      <c r="JIG34" s="713"/>
      <c r="JIH34" s="713"/>
      <c r="JII34" s="713"/>
      <c r="JIJ34" s="713"/>
      <c r="JIK34" s="713"/>
      <c r="JIL34" s="713"/>
      <c r="JIM34" s="713"/>
      <c r="JIN34" s="713"/>
      <c r="JIO34" s="713"/>
      <c r="JIP34" s="713"/>
      <c r="JIQ34" s="713"/>
      <c r="JIR34" s="713"/>
      <c r="JIS34" s="713"/>
      <c r="JIT34" s="713"/>
      <c r="JIU34" s="713"/>
      <c r="JIV34" s="713"/>
      <c r="JIW34" s="713"/>
      <c r="JIX34" s="713"/>
      <c r="JIY34" s="713"/>
      <c r="JIZ34" s="713"/>
      <c r="JJA34" s="713"/>
      <c r="JJB34" s="713"/>
      <c r="JJC34" s="713"/>
      <c r="JJD34" s="713"/>
      <c r="JJE34" s="713"/>
      <c r="JJF34" s="713"/>
      <c r="JJG34" s="713"/>
      <c r="JJH34" s="713"/>
      <c r="JJI34" s="713"/>
      <c r="JJJ34" s="713"/>
      <c r="JJK34" s="713"/>
      <c r="JJL34" s="713"/>
      <c r="JJM34" s="713"/>
      <c r="JJN34" s="713"/>
      <c r="JJO34" s="713"/>
      <c r="JJP34" s="713"/>
      <c r="JJQ34" s="713"/>
      <c r="JJR34" s="713"/>
      <c r="JJS34" s="713"/>
      <c r="JJT34" s="713"/>
      <c r="JJU34" s="713"/>
      <c r="JJV34" s="713"/>
      <c r="JJW34" s="713"/>
      <c r="JJX34" s="713"/>
      <c r="JJY34" s="713"/>
      <c r="JJZ34" s="713"/>
      <c r="JKA34" s="713"/>
      <c r="JKB34" s="713"/>
      <c r="JKC34" s="713"/>
      <c r="JKD34" s="713"/>
      <c r="JKE34" s="713"/>
      <c r="JKF34" s="713"/>
      <c r="JKG34" s="713"/>
      <c r="JKH34" s="713"/>
      <c r="JKI34" s="713"/>
      <c r="JKJ34" s="713"/>
      <c r="JKK34" s="713"/>
      <c r="JKL34" s="713"/>
      <c r="JKM34" s="713"/>
      <c r="JKN34" s="713"/>
      <c r="JKO34" s="713"/>
      <c r="JKP34" s="713"/>
      <c r="JKQ34" s="713"/>
      <c r="JKR34" s="713"/>
      <c r="JKS34" s="713"/>
      <c r="JKT34" s="713"/>
      <c r="JKU34" s="713"/>
      <c r="JKV34" s="713"/>
      <c r="JKW34" s="713"/>
      <c r="JKX34" s="713"/>
      <c r="JKY34" s="713"/>
      <c r="JKZ34" s="713"/>
      <c r="JLA34" s="713"/>
      <c r="JLB34" s="713"/>
      <c r="JLC34" s="713"/>
      <c r="JLD34" s="713"/>
      <c r="JLE34" s="713"/>
      <c r="JLF34" s="713"/>
      <c r="JLG34" s="713"/>
      <c r="JLH34" s="713"/>
      <c r="JLI34" s="713"/>
      <c r="JLJ34" s="713"/>
      <c r="JLK34" s="713"/>
      <c r="JLL34" s="713"/>
      <c r="JLM34" s="713"/>
      <c r="JLN34" s="713"/>
      <c r="JLO34" s="713"/>
      <c r="JLP34" s="713"/>
      <c r="JLQ34" s="713"/>
      <c r="JLR34" s="713"/>
      <c r="JLS34" s="713"/>
      <c r="JLT34" s="713"/>
      <c r="JLU34" s="713"/>
      <c r="JLV34" s="713"/>
      <c r="JLW34" s="713"/>
      <c r="JLX34" s="713"/>
      <c r="JLY34" s="713"/>
      <c r="JLZ34" s="713"/>
      <c r="JMA34" s="713"/>
      <c r="JMB34" s="713"/>
      <c r="JMC34" s="713"/>
      <c r="JMD34" s="713"/>
      <c r="JME34" s="713"/>
      <c r="JMF34" s="713"/>
      <c r="JMG34" s="713"/>
      <c r="JMH34" s="713"/>
      <c r="JMI34" s="713"/>
      <c r="JMJ34" s="713"/>
      <c r="JMK34" s="713"/>
      <c r="JML34" s="713"/>
      <c r="JMM34" s="713"/>
      <c r="JMN34" s="713"/>
      <c r="JMO34" s="713"/>
      <c r="JMP34" s="713"/>
      <c r="JMQ34" s="713"/>
      <c r="JMR34" s="713"/>
      <c r="JMS34" s="713"/>
      <c r="JMT34" s="713"/>
      <c r="JMU34" s="713"/>
      <c r="JMV34" s="713"/>
      <c r="JMW34" s="713"/>
      <c r="JMX34" s="713"/>
      <c r="JMY34" s="713"/>
      <c r="JMZ34" s="713"/>
      <c r="JNA34" s="713"/>
      <c r="JNB34" s="713"/>
      <c r="JNC34" s="713"/>
      <c r="JND34" s="713"/>
      <c r="JNE34" s="713"/>
      <c r="JNF34" s="713"/>
      <c r="JNG34" s="713"/>
      <c r="JNH34" s="713"/>
      <c r="JNI34" s="713"/>
      <c r="JNJ34" s="713"/>
      <c r="JNK34" s="713"/>
      <c r="JNL34" s="713"/>
      <c r="JNM34" s="713"/>
      <c r="JNN34" s="713"/>
      <c r="JNO34" s="713"/>
      <c r="JNP34" s="713"/>
      <c r="JNQ34" s="713"/>
      <c r="JNR34" s="713"/>
      <c r="JNS34" s="713"/>
      <c r="JNT34" s="713"/>
      <c r="JNU34" s="713"/>
      <c r="JNV34" s="713"/>
      <c r="JNW34" s="713"/>
      <c r="JNX34" s="713"/>
      <c r="JNY34" s="713"/>
      <c r="JNZ34" s="713"/>
      <c r="JOA34" s="713"/>
      <c r="JOB34" s="713"/>
      <c r="JOC34" s="713"/>
      <c r="JOD34" s="713"/>
      <c r="JOE34" s="713"/>
      <c r="JOF34" s="713"/>
      <c r="JOG34" s="713"/>
      <c r="JOH34" s="713"/>
      <c r="JOI34" s="713"/>
      <c r="JOJ34" s="713"/>
      <c r="JOK34" s="713"/>
      <c r="JOL34" s="713"/>
      <c r="JOM34" s="713"/>
      <c r="JON34" s="713"/>
      <c r="JOO34" s="713"/>
      <c r="JOP34" s="713"/>
      <c r="JOQ34" s="713"/>
      <c r="JOR34" s="713"/>
      <c r="JOS34" s="713"/>
      <c r="JOT34" s="713"/>
      <c r="JOU34" s="713"/>
      <c r="JOV34" s="713"/>
      <c r="JOW34" s="713"/>
      <c r="JOX34" s="713"/>
      <c r="JOY34" s="713"/>
      <c r="JOZ34" s="713"/>
      <c r="JPA34" s="713"/>
      <c r="JPB34" s="713"/>
      <c r="JPC34" s="713"/>
      <c r="JPD34" s="713"/>
      <c r="JPE34" s="713"/>
      <c r="JPF34" s="713"/>
      <c r="JPG34" s="713"/>
      <c r="JPH34" s="713"/>
      <c r="JPI34" s="713"/>
      <c r="JPJ34" s="713"/>
      <c r="JPK34" s="713"/>
      <c r="JPL34" s="713"/>
      <c r="JPM34" s="713"/>
      <c r="JPN34" s="713"/>
      <c r="JPO34" s="713"/>
      <c r="JPP34" s="713"/>
      <c r="JPQ34" s="713"/>
      <c r="JPR34" s="713"/>
      <c r="JPS34" s="713"/>
      <c r="JPT34" s="713"/>
      <c r="JPU34" s="713"/>
      <c r="JPV34" s="713"/>
      <c r="JPW34" s="713"/>
      <c r="JPX34" s="713"/>
      <c r="JPY34" s="713"/>
      <c r="JPZ34" s="713"/>
      <c r="JQA34" s="713"/>
      <c r="JQB34" s="713"/>
      <c r="JQC34" s="713"/>
      <c r="JQD34" s="713"/>
      <c r="JQE34" s="713"/>
      <c r="JQF34" s="713"/>
      <c r="JQG34" s="713"/>
      <c r="JQH34" s="713"/>
      <c r="JQI34" s="713"/>
      <c r="JQJ34" s="713"/>
      <c r="JQK34" s="713"/>
      <c r="JQL34" s="713"/>
      <c r="JQM34" s="713"/>
      <c r="JQN34" s="713"/>
      <c r="JQO34" s="713"/>
      <c r="JQP34" s="713"/>
      <c r="JQQ34" s="713"/>
      <c r="JQR34" s="713"/>
      <c r="JQS34" s="713"/>
      <c r="JQT34" s="713"/>
      <c r="JQU34" s="713"/>
      <c r="JQV34" s="713"/>
      <c r="JQW34" s="713"/>
      <c r="JQX34" s="713"/>
      <c r="JQY34" s="713"/>
      <c r="JQZ34" s="713"/>
      <c r="JRA34" s="713"/>
      <c r="JRB34" s="713"/>
      <c r="JRC34" s="713"/>
      <c r="JRD34" s="713"/>
      <c r="JRE34" s="713"/>
      <c r="JRF34" s="713"/>
      <c r="JRG34" s="713"/>
      <c r="JRH34" s="713"/>
      <c r="JRI34" s="713"/>
      <c r="JRJ34" s="713"/>
      <c r="JRK34" s="713"/>
      <c r="JRL34" s="713"/>
      <c r="JRM34" s="713"/>
      <c r="JRN34" s="713"/>
      <c r="JRO34" s="713"/>
      <c r="JRP34" s="713"/>
      <c r="JRQ34" s="713"/>
      <c r="JRR34" s="713"/>
      <c r="JRS34" s="713"/>
      <c r="JRT34" s="713"/>
      <c r="JRU34" s="713"/>
      <c r="JRV34" s="713"/>
      <c r="JRW34" s="713"/>
      <c r="JRX34" s="713"/>
      <c r="JRY34" s="713"/>
      <c r="JRZ34" s="713"/>
      <c r="JSA34" s="713"/>
      <c r="JSB34" s="713"/>
      <c r="JSC34" s="713"/>
      <c r="JSD34" s="713"/>
      <c r="JSE34" s="713"/>
      <c r="JSF34" s="713"/>
      <c r="JSG34" s="713"/>
      <c r="JSH34" s="713"/>
      <c r="JSI34" s="713"/>
      <c r="JSJ34" s="713"/>
      <c r="JSK34" s="713"/>
      <c r="JSL34" s="713"/>
      <c r="JSM34" s="713"/>
      <c r="JSN34" s="713"/>
      <c r="JSO34" s="713"/>
      <c r="JSP34" s="713"/>
      <c r="JSQ34" s="713"/>
      <c r="JSR34" s="713"/>
      <c r="JSS34" s="713"/>
      <c r="JST34" s="713"/>
      <c r="JSU34" s="713"/>
      <c r="JSV34" s="713"/>
      <c r="JSW34" s="713"/>
      <c r="JSX34" s="713"/>
      <c r="JSY34" s="713"/>
      <c r="JSZ34" s="713"/>
      <c r="JTA34" s="713"/>
      <c r="JTB34" s="713"/>
      <c r="JTC34" s="713"/>
      <c r="JTD34" s="713"/>
      <c r="JTE34" s="713"/>
      <c r="JTF34" s="713"/>
      <c r="JTG34" s="713"/>
      <c r="JTH34" s="713"/>
      <c r="JTI34" s="713"/>
      <c r="JTJ34" s="713"/>
      <c r="JTK34" s="713"/>
      <c r="JTL34" s="713"/>
      <c r="JTM34" s="713"/>
      <c r="JTN34" s="713"/>
      <c r="JTO34" s="713"/>
      <c r="JTP34" s="713"/>
      <c r="JTQ34" s="713"/>
      <c r="JTR34" s="713"/>
      <c r="JTS34" s="713"/>
      <c r="JTT34" s="713"/>
      <c r="JTU34" s="713"/>
      <c r="JTV34" s="713"/>
      <c r="JTW34" s="713"/>
      <c r="JTX34" s="713"/>
      <c r="JTY34" s="713"/>
      <c r="JTZ34" s="713"/>
      <c r="JUA34" s="713"/>
      <c r="JUB34" s="713"/>
      <c r="JUC34" s="713"/>
      <c r="JUD34" s="713"/>
      <c r="JUE34" s="713"/>
      <c r="JUF34" s="713"/>
      <c r="JUG34" s="713"/>
      <c r="JUH34" s="713"/>
      <c r="JUI34" s="713"/>
      <c r="JUJ34" s="713"/>
      <c r="JUK34" s="713"/>
      <c r="JUL34" s="713"/>
      <c r="JUM34" s="713"/>
      <c r="JUN34" s="713"/>
      <c r="JUO34" s="713"/>
      <c r="JUP34" s="713"/>
      <c r="JUQ34" s="713"/>
      <c r="JUR34" s="713"/>
      <c r="JUS34" s="713"/>
      <c r="JUT34" s="713"/>
      <c r="JUU34" s="713"/>
      <c r="JUV34" s="713"/>
      <c r="JUW34" s="713"/>
      <c r="JUX34" s="713"/>
      <c r="JUY34" s="713"/>
      <c r="JUZ34" s="713"/>
      <c r="JVA34" s="713"/>
      <c r="JVB34" s="713"/>
      <c r="JVC34" s="713"/>
      <c r="JVD34" s="713"/>
      <c r="JVE34" s="713"/>
      <c r="JVF34" s="713"/>
      <c r="JVG34" s="713"/>
      <c r="JVH34" s="713"/>
      <c r="JVI34" s="713"/>
      <c r="JVJ34" s="713"/>
      <c r="JVK34" s="713"/>
      <c r="JVL34" s="713"/>
      <c r="JVM34" s="713"/>
      <c r="JVN34" s="713"/>
      <c r="JVO34" s="713"/>
      <c r="JVP34" s="713"/>
      <c r="JVQ34" s="713"/>
      <c r="JVR34" s="713"/>
      <c r="JVS34" s="713"/>
      <c r="JVT34" s="713"/>
      <c r="JVU34" s="713"/>
      <c r="JVV34" s="713"/>
      <c r="JVW34" s="713"/>
      <c r="JVX34" s="713"/>
      <c r="JVY34" s="713"/>
      <c r="JVZ34" s="713"/>
      <c r="JWA34" s="713"/>
      <c r="JWB34" s="713"/>
      <c r="JWC34" s="713"/>
      <c r="JWD34" s="713"/>
      <c r="JWE34" s="713"/>
      <c r="JWF34" s="713"/>
      <c r="JWG34" s="713"/>
      <c r="JWH34" s="713"/>
      <c r="JWI34" s="713"/>
      <c r="JWJ34" s="713"/>
      <c r="JWK34" s="713"/>
      <c r="JWL34" s="713"/>
      <c r="JWM34" s="713"/>
      <c r="JWN34" s="713"/>
      <c r="JWO34" s="713"/>
      <c r="JWP34" s="713"/>
      <c r="JWQ34" s="713"/>
      <c r="JWR34" s="713"/>
      <c r="JWS34" s="713"/>
      <c r="JWT34" s="713"/>
      <c r="JWU34" s="713"/>
      <c r="JWV34" s="713"/>
      <c r="JWW34" s="713"/>
      <c r="JWX34" s="713"/>
      <c r="JWY34" s="713"/>
      <c r="JWZ34" s="713"/>
      <c r="JXA34" s="713"/>
      <c r="JXB34" s="713"/>
      <c r="JXC34" s="713"/>
      <c r="JXD34" s="713"/>
      <c r="JXE34" s="713"/>
      <c r="JXF34" s="713"/>
      <c r="JXG34" s="713"/>
      <c r="JXH34" s="713"/>
      <c r="JXI34" s="713"/>
      <c r="JXJ34" s="713"/>
      <c r="JXK34" s="713"/>
      <c r="JXL34" s="713"/>
      <c r="JXM34" s="713"/>
      <c r="JXN34" s="713"/>
      <c r="JXO34" s="713"/>
      <c r="JXP34" s="713"/>
      <c r="JXQ34" s="713"/>
      <c r="JXR34" s="713"/>
      <c r="JXS34" s="713"/>
      <c r="JXT34" s="713"/>
      <c r="JXU34" s="713"/>
      <c r="JXV34" s="713"/>
      <c r="JXW34" s="713"/>
      <c r="JXX34" s="713"/>
      <c r="JXY34" s="713"/>
      <c r="JXZ34" s="713"/>
      <c r="JYA34" s="713"/>
      <c r="JYB34" s="713"/>
      <c r="JYC34" s="713"/>
      <c r="JYD34" s="713"/>
      <c r="JYE34" s="713"/>
      <c r="JYF34" s="713"/>
      <c r="JYG34" s="713"/>
      <c r="JYH34" s="713"/>
      <c r="JYI34" s="713"/>
      <c r="JYJ34" s="713"/>
      <c r="JYK34" s="713"/>
      <c r="JYL34" s="713"/>
      <c r="JYM34" s="713"/>
      <c r="JYN34" s="713"/>
      <c r="JYO34" s="713"/>
      <c r="JYP34" s="713"/>
      <c r="JYQ34" s="713"/>
      <c r="JYR34" s="713"/>
      <c r="JYS34" s="713"/>
      <c r="JYT34" s="713"/>
      <c r="JYU34" s="713"/>
      <c r="JYV34" s="713"/>
      <c r="JYW34" s="713"/>
      <c r="JYX34" s="713"/>
      <c r="JYY34" s="713"/>
      <c r="JYZ34" s="713"/>
      <c r="JZA34" s="713"/>
      <c r="JZB34" s="713"/>
      <c r="JZC34" s="713"/>
      <c r="JZD34" s="713"/>
      <c r="JZE34" s="713"/>
      <c r="JZF34" s="713"/>
      <c r="JZG34" s="713"/>
      <c r="JZH34" s="713"/>
      <c r="JZI34" s="713"/>
      <c r="JZJ34" s="713"/>
      <c r="JZK34" s="713"/>
      <c r="JZL34" s="713"/>
      <c r="JZM34" s="713"/>
      <c r="JZN34" s="713"/>
      <c r="JZO34" s="713"/>
      <c r="JZP34" s="713"/>
      <c r="JZQ34" s="713"/>
      <c r="JZR34" s="713"/>
      <c r="JZS34" s="713"/>
      <c r="JZT34" s="713"/>
      <c r="JZU34" s="713"/>
      <c r="JZV34" s="713"/>
      <c r="JZW34" s="713"/>
      <c r="JZX34" s="713"/>
      <c r="JZY34" s="713"/>
      <c r="JZZ34" s="713"/>
      <c r="KAA34" s="713"/>
      <c r="KAB34" s="713"/>
      <c r="KAC34" s="713"/>
      <c r="KAD34" s="713"/>
      <c r="KAE34" s="713"/>
      <c r="KAF34" s="713"/>
      <c r="KAG34" s="713"/>
      <c r="KAH34" s="713"/>
      <c r="KAI34" s="713"/>
      <c r="KAJ34" s="713"/>
      <c r="KAK34" s="713"/>
      <c r="KAL34" s="713"/>
      <c r="KAM34" s="713"/>
      <c r="KAN34" s="713"/>
      <c r="KAO34" s="713"/>
      <c r="KAP34" s="713"/>
      <c r="KAQ34" s="713"/>
      <c r="KAR34" s="713"/>
      <c r="KAS34" s="713"/>
      <c r="KAT34" s="713"/>
      <c r="KAU34" s="713"/>
      <c r="KAV34" s="713"/>
      <c r="KAW34" s="713"/>
      <c r="KAX34" s="713"/>
      <c r="KAY34" s="713"/>
      <c r="KAZ34" s="713"/>
      <c r="KBA34" s="713"/>
      <c r="KBB34" s="713"/>
      <c r="KBC34" s="713"/>
      <c r="KBD34" s="713"/>
      <c r="KBE34" s="713"/>
      <c r="KBF34" s="713"/>
      <c r="KBG34" s="713"/>
      <c r="KBH34" s="713"/>
      <c r="KBI34" s="713"/>
      <c r="KBJ34" s="713"/>
      <c r="KBK34" s="713"/>
      <c r="KBL34" s="713"/>
      <c r="KBM34" s="713"/>
      <c r="KBN34" s="713"/>
      <c r="KBO34" s="713"/>
      <c r="KBP34" s="713"/>
      <c r="KBQ34" s="713"/>
      <c r="KBR34" s="713"/>
      <c r="KBS34" s="713"/>
      <c r="KBT34" s="713"/>
      <c r="KBU34" s="713"/>
      <c r="KBV34" s="713"/>
      <c r="KBW34" s="713"/>
      <c r="KBX34" s="713"/>
      <c r="KBY34" s="713"/>
      <c r="KBZ34" s="713"/>
      <c r="KCA34" s="713"/>
      <c r="KCB34" s="713"/>
      <c r="KCC34" s="713"/>
      <c r="KCD34" s="713"/>
      <c r="KCE34" s="713"/>
      <c r="KCF34" s="713"/>
      <c r="KCG34" s="713"/>
      <c r="KCH34" s="713"/>
      <c r="KCI34" s="713"/>
      <c r="KCJ34" s="713"/>
      <c r="KCK34" s="713"/>
      <c r="KCL34" s="713"/>
      <c r="KCM34" s="713"/>
      <c r="KCN34" s="713"/>
      <c r="KCO34" s="713"/>
      <c r="KCP34" s="713"/>
      <c r="KCQ34" s="713"/>
      <c r="KCR34" s="713"/>
      <c r="KCS34" s="713"/>
      <c r="KCT34" s="713"/>
      <c r="KCU34" s="713"/>
      <c r="KCV34" s="713"/>
      <c r="KCW34" s="713"/>
      <c r="KCX34" s="713"/>
      <c r="KCY34" s="713"/>
      <c r="KCZ34" s="713"/>
      <c r="KDA34" s="713"/>
      <c r="KDB34" s="713"/>
      <c r="KDC34" s="713"/>
      <c r="KDD34" s="713"/>
      <c r="KDE34" s="713"/>
      <c r="KDF34" s="713"/>
      <c r="KDG34" s="713"/>
      <c r="KDH34" s="713"/>
      <c r="KDI34" s="713"/>
      <c r="KDJ34" s="713"/>
      <c r="KDK34" s="713"/>
      <c r="KDL34" s="713"/>
      <c r="KDM34" s="713"/>
      <c r="KDN34" s="713"/>
      <c r="KDO34" s="713"/>
      <c r="KDP34" s="713"/>
      <c r="KDQ34" s="713"/>
      <c r="KDR34" s="713"/>
      <c r="KDS34" s="713"/>
      <c r="KDT34" s="713"/>
      <c r="KDU34" s="713"/>
      <c r="KDV34" s="713"/>
      <c r="KDW34" s="713"/>
      <c r="KDX34" s="713"/>
      <c r="KDY34" s="713"/>
      <c r="KDZ34" s="713"/>
      <c r="KEA34" s="713"/>
      <c r="KEB34" s="713"/>
      <c r="KEC34" s="713"/>
      <c r="KED34" s="713"/>
      <c r="KEE34" s="713"/>
      <c r="KEF34" s="713"/>
      <c r="KEG34" s="713"/>
      <c r="KEH34" s="713"/>
      <c r="KEI34" s="713"/>
      <c r="KEJ34" s="713"/>
      <c r="KEK34" s="713"/>
      <c r="KEL34" s="713"/>
      <c r="KEM34" s="713"/>
      <c r="KEN34" s="713"/>
      <c r="KEO34" s="713"/>
      <c r="KEP34" s="713"/>
      <c r="KEQ34" s="713"/>
      <c r="KER34" s="713"/>
      <c r="KES34" s="713"/>
      <c r="KET34" s="713"/>
      <c r="KEU34" s="713"/>
      <c r="KEV34" s="713"/>
      <c r="KEW34" s="713"/>
      <c r="KEX34" s="713"/>
      <c r="KEY34" s="713"/>
      <c r="KEZ34" s="713"/>
      <c r="KFA34" s="713"/>
      <c r="KFB34" s="713"/>
      <c r="KFC34" s="713"/>
      <c r="KFD34" s="713"/>
      <c r="KFE34" s="713"/>
      <c r="KFF34" s="713"/>
      <c r="KFG34" s="713"/>
      <c r="KFH34" s="713"/>
      <c r="KFI34" s="713"/>
      <c r="KFJ34" s="713"/>
      <c r="KFK34" s="713"/>
      <c r="KFL34" s="713"/>
      <c r="KFM34" s="713"/>
      <c r="KFN34" s="713"/>
      <c r="KFO34" s="713"/>
      <c r="KFP34" s="713"/>
      <c r="KFQ34" s="713"/>
      <c r="KFR34" s="713"/>
      <c r="KFS34" s="713"/>
      <c r="KFT34" s="713"/>
      <c r="KFU34" s="713"/>
      <c r="KFV34" s="713"/>
      <c r="KFW34" s="713"/>
      <c r="KFX34" s="713"/>
      <c r="KFY34" s="713"/>
      <c r="KFZ34" s="713"/>
      <c r="KGA34" s="713"/>
      <c r="KGB34" s="713"/>
      <c r="KGC34" s="713"/>
      <c r="KGD34" s="713"/>
      <c r="KGE34" s="713"/>
      <c r="KGF34" s="713"/>
      <c r="KGG34" s="713"/>
      <c r="KGH34" s="713"/>
      <c r="KGI34" s="713"/>
      <c r="KGJ34" s="713"/>
      <c r="KGK34" s="713"/>
      <c r="KGL34" s="713"/>
      <c r="KGM34" s="713"/>
      <c r="KGN34" s="713"/>
      <c r="KGO34" s="713"/>
      <c r="KGP34" s="713"/>
      <c r="KGQ34" s="713"/>
      <c r="KGR34" s="713"/>
      <c r="KGS34" s="713"/>
      <c r="KGT34" s="713"/>
      <c r="KGU34" s="713"/>
      <c r="KGV34" s="713"/>
      <c r="KGW34" s="713"/>
      <c r="KGX34" s="713"/>
      <c r="KGY34" s="713"/>
      <c r="KGZ34" s="713"/>
      <c r="KHA34" s="713"/>
      <c r="KHB34" s="713"/>
      <c r="KHC34" s="713"/>
      <c r="KHD34" s="713"/>
      <c r="KHE34" s="713"/>
      <c r="KHF34" s="713"/>
      <c r="KHG34" s="713"/>
      <c r="KHH34" s="713"/>
      <c r="KHI34" s="713"/>
      <c r="KHJ34" s="713"/>
      <c r="KHK34" s="713"/>
      <c r="KHL34" s="713"/>
      <c r="KHM34" s="713"/>
      <c r="KHN34" s="713"/>
      <c r="KHO34" s="713"/>
      <c r="KHP34" s="713"/>
      <c r="KHQ34" s="713"/>
      <c r="KHR34" s="713"/>
      <c r="KHS34" s="713"/>
      <c r="KHT34" s="713"/>
      <c r="KHU34" s="713"/>
      <c r="KHV34" s="713"/>
      <c r="KHW34" s="713"/>
      <c r="KHX34" s="713"/>
      <c r="KHY34" s="713"/>
      <c r="KHZ34" s="713"/>
      <c r="KIA34" s="713"/>
      <c r="KIB34" s="713"/>
      <c r="KIC34" s="713"/>
      <c r="KID34" s="713"/>
      <c r="KIE34" s="713"/>
      <c r="KIF34" s="713"/>
      <c r="KIG34" s="713"/>
      <c r="KIH34" s="713"/>
      <c r="KII34" s="713"/>
      <c r="KIJ34" s="713"/>
      <c r="KIK34" s="713"/>
      <c r="KIL34" s="713"/>
      <c r="KIM34" s="713"/>
      <c r="KIN34" s="713"/>
      <c r="KIO34" s="713"/>
      <c r="KIP34" s="713"/>
      <c r="KIQ34" s="713"/>
      <c r="KIR34" s="713"/>
      <c r="KIS34" s="713"/>
      <c r="KIT34" s="713"/>
      <c r="KIU34" s="713"/>
      <c r="KIV34" s="713"/>
      <c r="KIW34" s="713"/>
      <c r="KIX34" s="713"/>
      <c r="KIY34" s="713"/>
      <c r="KIZ34" s="713"/>
      <c r="KJA34" s="713"/>
      <c r="KJB34" s="713"/>
      <c r="KJC34" s="713"/>
      <c r="KJD34" s="713"/>
      <c r="KJE34" s="713"/>
      <c r="KJF34" s="713"/>
      <c r="KJG34" s="713"/>
      <c r="KJH34" s="713"/>
      <c r="KJI34" s="713"/>
      <c r="KJJ34" s="713"/>
      <c r="KJK34" s="713"/>
      <c r="KJL34" s="713"/>
      <c r="KJM34" s="713"/>
      <c r="KJN34" s="713"/>
      <c r="KJO34" s="713"/>
      <c r="KJP34" s="713"/>
      <c r="KJQ34" s="713"/>
      <c r="KJR34" s="713"/>
      <c r="KJS34" s="713"/>
      <c r="KJT34" s="713"/>
      <c r="KJU34" s="713"/>
      <c r="KJV34" s="713"/>
      <c r="KJW34" s="713"/>
      <c r="KJX34" s="713"/>
      <c r="KJY34" s="713"/>
      <c r="KJZ34" s="713"/>
      <c r="KKA34" s="713"/>
      <c r="KKB34" s="713"/>
      <c r="KKC34" s="713"/>
      <c r="KKD34" s="713"/>
      <c r="KKE34" s="713"/>
      <c r="KKF34" s="713"/>
      <c r="KKG34" s="713"/>
      <c r="KKH34" s="713"/>
      <c r="KKI34" s="713"/>
      <c r="KKJ34" s="713"/>
      <c r="KKK34" s="713"/>
      <c r="KKL34" s="713"/>
      <c r="KKM34" s="713"/>
      <c r="KKN34" s="713"/>
      <c r="KKO34" s="713"/>
      <c r="KKP34" s="713"/>
      <c r="KKQ34" s="713"/>
      <c r="KKR34" s="713"/>
      <c r="KKS34" s="713"/>
      <c r="KKT34" s="713"/>
      <c r="KKU34" s="713"/>
      <c r="KKV34" s="713"/>
      <c r="KKW34" s="713"/>
      <c r="KKX34" s="713"/>
      <c r="KKY34" s="713"/>
      <c r="KKZ34" s="713"/>
      <c r="KLA34" s="713"/>
      <c r="KLB34" s="713"/>
      <c r="KLC34" s="713"/>
      <c r="KLD34" s="713"/>
      <c r="KLE34" s="713"/>
      <c r="KLF34" s="713"/>
      <c r="KLG34" s="713"/>
      <c r="KLH34" s="713"/>
      <c r="KLI34" s="713"/>
      <c r="KLJ34" s="713"/>
      <c r="KLK34" s="713"/>
      <c r="KLL34" s="713"/>
      <c r="KLM34" s="713"/>
      <c r="KLN34" s="713"/>
      <c r="KLO34" s="713"/>
      <c r="KLP34" s="713"/>
      <c r="KLQ34" s="713"/>
      <c r="KLR34" s="713"/>
      <c r="KLS34" s="713"/>
      <c r="KLT34" s="713"/>
      <c r="KLU34" s="713"/>
      <c r="KLV34" s="713"/>
      <c r="KLW34" s="713"/>
      <c r="KLX34" s="713"/>
      <c r="KLY34" s="713"/>
      <c r="KLZ34" s="713"/>
      <c r="KMA34" s="713"/>
      <c r="KMB34" s="713"/>
      <c r="KMC34" s="713"/>
      <c r="KMD34" s="713"/>
      <c r="KME34" s="713"/>
      <c r="KMF34" s="713"/>
      <c r="KMG34" s="713"/>
      <c r="KMH34" s="713"/>
      <c r="KMI34" s="713"/>
      <c r="KMJ34" s="713"/>
      <c r="KMK34" s="713"/>
      <c r="KML34" s="713"/>
      <c r="KMM34" s="713"/>
      <c r="KMN34" s="713"/>
      <c r="KMO34" s="713"/>
      <c r="KMP34" s="713"/>
      <c r="KMQ34" s="713"/>
      <c r="KMR34" s="713"/>
      <c r="KMS34" s="713"/>
      <c r="KMT34" s="713"/>
      <c r="KMU34" s="713"/>
      <c r="KMV34" s="713"/>
      <c r="KMW34" s="713"/>
      <c r="KMX34" s="713"/>
      <c r="KMY34" s="713"/>
      <c r="KMZ34" s="713"/>
      <c r="KNA34" s="713"/>
      <c r="KNB34" s="713"/>
      <c r="KNC34" s="713"/>
      <c r="KND34" s="713"/>
      <c r="KNE34" s="713"/>
      <c r="KNF34" s="713"/>
      <c r="KNG34" s="713"/>
      <c r="KNH34" s="713"/>
      <c r="KNI34" s="713"/>
      <c r="KNJ34" s="713"/>
      <c r="KNK34" s="713"/>
      <c r="KNL34" s="713"/>
      <c r="KNM34" s="713"/>
      <c r="KNN34" s="713"/>
      <c r="KNO34" s="713"/>
      <c r="KNP34" s="713"/>
      <c r="KNQ34" s="713"/>
      <c r="KNR34" s="713"/>
      <c r="KNS34" s="713"/>
      <c r="KNT34" s="713"/>
      <c r="KNU34" s="713"/>
      <c r="KNV34" s="713"/>
      <c r="KNW34" s="713"/>
      <c r="KNX34" s="713"/>
      <c r="KNY34" s="713"/>
      <c r="KNZ34" s="713"/>
      <c r="KOA34" s="713"/>
      <c r="KOB34" s="713"/>
      <c r="KOC34" s="713"/>
      <c r="KOD34" s="713"/>
      <c r="KOE34" s="713"/>
      <c r="KOF34" s="713"/>
      <c r="KOG34" s="713"/>
      <c r="KOH34" s="713"/>
      <c r="KOI34" s="713"/>
      <c r="KOJ34" s="713"/>
      <c r="KOK34" s="713"/>
      <c r="KOL34" s="713"/>
      <c r="KOM34" s="713"/>
      <c r="KON34" s="713"/>
      <c r="KOO34" s="713"/>
      <c r="KOP34" s="713"/>
      <c r="KOQ34" s="713"/>
      <c r="KOR34" s="713"/>
      <c r="KOS34" s="713"/>
      <c r="KOT34" s="713"/>
      <c r="KOU34" s="713"/>
      <c r="KOV34" s="713"/>
      <c r="KOW34" s="713"/>
      <c r="KOX34" s="713"/>
      <c r="KOY34" s="713"/>
      <c r="KOZ34" s="713"/>
      <c r="KPA34" s="713"/>
      <c r="KPB34" s="713"/>
      <c r="KPC34" s="713"/>
      <c r="KPD34" s="713"/>
      <c r="KPE34" s="713"/>
      <c r="KPF34" s="713"/>
      <c r="KPG34" s="713"/>
      <c r="KPH34" s="713"/>
      <c r="KPI34" s="713"/>
      <c r="KPJ34" s="713"/>
      <c r="KPK34" s="713"/>
      <c r="KPL34" s="713"/>
      <c r="KPM34" s="713"/>
      <c r="KPN34" s="713"/>
      <c r="KPO34" s="713"/>
      <c r="KPP34" s="713"/>
      <c r="KPQ34" s="713"/>
      <c r="KPR34" s="713"/>
      <c r="KPS34" s="713"/>
      <c r="KPT34" s="713"/>
      <c r="KPU34" s="713"/>
      <c r="KPV34" s="713"/>
      <c r="KPW34" s="713"/>
      <c r="KPX34" s="713"/>
      <c r="KPY34" s="713"/>
      <c r="KPZ34" s="713"/>
      <c r="KQA34" s="713"/>
      <c r="KQB34" s="713"/>
      <c r="KQC34" s="713"/>
      <c r="KQD34" s="713"/>
      <c r="KQE34" s="713"/>
      <c r="KQF34" s="713"/>
      <c r="KQG34" s="713"/>
      <c r="KQH34" s="713"/>
      <c r="KQI34" s="713"/>
      <c r="KQJ34" s="713"/>
      <c r="KQK34" s="713"/>
      <c r="KQL34" s="713"/>
      <c r="KQM34" s="713"/>
      <c r="KQN34" s="713"/>
      <c r="KQO34" s="713"/>
      <c r="KQP34" s="713"/>
      <c r="KQQ34" s="713"/>
      <c r="KQR34" s="713"/>
      <c r="KQS34" s="713"/>
      <c r="KQT34" s="713"/>
      <c r="KQU34" s="713"/>
      <c r="KQV34" s="713"/>
      <c r="KQW34" s="713"/>
      <c r="KQX34" s="713"/>
      <c r="KQY34" s="713"/>
      <c r="KQZ34" s="713"/>
      <c r="KRA34" s="713"/>
      <c r="KRB34" s="713"/>
      <c r="KRC34" s="713"/>
      <c r="KRD34" s="713"/>
      <c r="KRE34" s="713"/>
      <c r="KRF34" s="713"/>
      <c r="KRG34" s="713"/>
      <c r="KRH34" s="713"/>
      <c r="KRI34" s="713"/>
      <c r="KRJ34" s="713"/>
      <c r="KRK34" s="713"/>
      <c r="KRL34" s="713"/>
      <c r="KRM34" s="713"/>
      <c r="KRN34" s="713"/>
      <c r="KRO34" s="713"/>
      <c r="KRP34" s="713"/>
      <c r="KRQ34" s="713"/>
      <c r="KRR34" s="713"/>
      <c r="KRS34" s="713"/>
      <c r="KRT34" s="713"/>
      <c r="KRU34" s="713"/>
      <c r="KRV34" s="713"/>
      <c r="KRW34" s="713"/>
      <c r="KRX34" s="713"/>
      <c r="KRY34" s="713"/>
      <c r="KRZ34" s="713"/>
      <c r="KSA34" s="713"/>
      <c r="KSB34" s="713"/>
      <c r="KSC34" s="713"/>
      <c r="KSD34" s="713"/>
      <c r="KSE34" s="713"/>
      <c r="KSF34" s="713"/>
      <c r="KSG34" s="713"/>
      <c r="KSH34" s="713"/>
      <c r="KSI34" s="713"/>
      <c r="KSJ34" s="713"/>
      <c r="KSK34" s="713"/>
      <c r="KSL34" s="713"/>
      <c r="KSM34" s="713"/>
      <c r="KSN34" s="713"/>
      <c r="KSO34" s="713"/>
      <c r="KSP34" s="713"/>
      <c r="KSQ34" s="713"/>
      <c r="KSR34" s="713"/>
      <c r="KSS34" s="713"/>
      <c r="KST34" s="713"/>
      <c r="KSU34" s="713"/>
      <c r="KSV34" s="713"/>
      <c r="KSW34" s="713"/>
      <c r="KSX34" s="713"/>
      <c r="KSY34" s="713"/>
      <c r="KSZ34" s="713"/>
      <c r="KTA34" s="713"/>
      <c r="KTB34" s="713"/>
      <c r="KTC34" s="713"/>
      <c r="KTD34" s="713"/>
      <c r="KTE34" s="713"/>
      <c r="KTF34" s="713"/>
      <c r="KTG34" s="713"/>
      <c r="KTH34" s="713"/>
      <c r="KTI34" s="713"/>
      <c r="KTJ34" s="713"/>
      <c r="KTK34" s="713"/>
      <c r="KTL34" s="713"/>
      <c r="KTM34" s="713"/>
      <c r="KTN34" s="713"/>
      <c r="KTO34" s="713"/>
      <c r="KTP34" s="713"/>
      <c r="KTQ34" s="713"/>
      <c r="KTR34" s="713"/>
      <c r="KTS34" s="713"/>
      <c r="KTT34" s="713"/>
      <c r="KTU34" s="713"/>
      <c r="KTV34" s="713"/>
      <c r="KTW34" s="713"/>
      <c r="KTX34" s="713"/>
      <c r="KTY34" s="713"/>
      <c r="KTZ34" s="713"/>
      <c r="KUA34" s="713"/>
      <c r="KUB34" s="713"/>
      <c r="KUC34" s="713"/>
      <c r="KUD34" s="713"/>
      <c r="KUE34" s="713"/>
      <c r="KUF34" s="713"/>
      <c r="KUG34" s="713"/>
      <c r="KUH34" s="713"/>
      <c r="KUI34" s="713"/>
      <c r="KUJ34" s="713"/>
      <c r="KUK34" s="713"/>
      <c r="KUL34" s="713"/>
      <c r="KUM34" s="713"/>
      <c r="KUN34" s="713"/>
      <c r="KUO34" s="713"/>
      <c r="KUP34" s="713"/>
      <c r="KUQ34" s="713"/>
      <c r="KUR34" s="713"/>
      <c r="KUS34" s="713"/>
      <c r="KUT34" s="713"/>
      <c r="KUU34" s="713"/>
      <c r="KUV34" s="713"/>
      <c r="KUW34" s="713"/>
      <c r="KUX34" s="713"/>
      <c r="KUY34" s="713"/>
      <c r="KUZ34" s="713"/>
      <c r="KVA34" s="713"/>
      <c r="KVB34" s="713"/>
      <c r="KVC34" s="713"/>
      <c r="KVD34" s="713"/>
      <c r="KVE34" s="713"/>
      <c r="KVF34" s="713"/>
      <c r="KVG34" s="713"/>
      <c r="KVH34" s="713"/>
      <c r="KVI34" s="713"/>
      <c r="KVJ34" s="713"/>
      <c r="KVK34" s="713"/>
      <c r="KVL34" s="713"/>
      <c r="KVM34" s="713"/>
      <c r="KVN34" s="713"/>
      <c r="KVO34" s="713"/>
      <c r="KVP34" s="713"/>
      <c r="KVQ34" s="713"/>
      <c r="KVR34" s="713"/>
      <c r="KVS34" s="713"/>
      <c r="KVT34" s="713"/>
      <c r="KVU34" s="713"/>
      <c r="KVV34" s="713"/>
      <c r="KVW34" s="713"/>
      <c r="KVX34" s="713"/>
      <c r="KVY34" s="713"/>
      <c r="KVZ34" s="713"/>
      <c r="KWA34" s="713"/>
      <c r="KWB34" s="713"/>
      <c r="KWC34" s="713"/>
      <c r="KWD34" s="713"/>
      <c r="KWE34" s="713"/>
      <c r="KWF34" s="713"/>
      <c r="KWG34" s="713"/>
      <c r="KWH34" s="713"/>
      <c r="KWI34" s="713"/>
      <c r="KWJ34" s="713"/>
      <c r="KWK34" s="713"/>
      <c r="KWL34" s="713"/>
      <c r="KWM34" s="713"/>
      <c r="KWN34" s="713"/>
      <c r="KWO34" s="713"/>
      <c r="KWP34" s="713"/>
      <c r="KWQ34" s="713"/>
      <c r="KWR34" s="713"/>
      <c r="KWS34" s="713"/>
      <c r="KWT34" s="713"/>
      <c r="KWU34" s="713"/>
      <c r="KWV34" s="713"/>
      <c r="KWW34" s="713"/>
      <c r="KWX34" s="713"/>
      <c r="KWY34" s="713"/>
      <c r="KWZ34" s="713"/>
      <c r="KXA34" s="713"/>
      <c r="KXB34" s="713"/>
      <c r="KXC34" s="713"/>
      <c r="KXD34" s="713"/>
      <c r="KXE34" s="713"/>
      <c r="KXF34" s="713"/>
      <c r="KXG34" s="713"/>
      <c r="KXH34" s="713"/>
      <c r="KXI34" s="713"/>
      <c r="KXJ34" s="713"/>
      <c r="KXK34" s="713"/>
      <c r="KXL34" s="713"/>
      <c r="KXM34" s="713"/>
      <c r="KXN34" s="713"/>
      <c r="KXO34" s="713"/>
      <c r="KXP34" s="713"/>
      <c r="KXQ34" s="713"/>
      <c r="KXR34" s="713"/>
      <c r="KXS34" s="713"/>
      <c r="KXT34" s="713"/>
      <c r="KXU34" s="713"/>
      <c r="KXV34" s="713"/>
      <c r="KXW34" s="713"/>
      <c r="KXX34" s="713"/>
      <c r="KXY34" s="713"/>
      <c r="KXZ34" s="713"/>
      <c r="KYA34" s="713"/>
      <c r="KYB34" s="713"/>
      <c r="KYC34" s="713"/>
      <c r="KYD34" s="713"/>
      <c r="KYE34" s="713"/>
      <c r="KYF34" s="713"/>
      <c r="KYG34" s="713"/>
      <c r="KYH34" s="713"/>
      <c r="KYI34" s="713"/>
      <c r="KYJ34" s="713"/>
      <c r="KYK34" s="713"/>
      <c r="KYL34" s="713"/>
      <c r="KYM34" s="713"/>
      <c r="KYN34" s="713"/>
      <c r="KYO34" s="713"/>
      <c r="KYP34" s="713"/>
      <c r="KYQ34" s="713"/>
      <c r="KYR34" s="713"/>
      <c r="KYS34" s="713"/>
      <c r="KYT34" s="713"/>
      <c r="KYU34" s="713"/>
      <c r="KYV34" s="713"/>
      <c r="KYW34" s="713"/>
      <c r="KYX34" s="713"/>
      <c r="KYY34" s="713"/>
      <c r="KYZ34" s="713"/>
      <c r="KZA34" s="713"/>
      <c r="KZB34" s="713"/>
      <c r="KZC34" s="713"/>
      <c r="KZD34" s="713"/>
      <c r="KZE34" s="713"/>
      <c r="KZF34" s="713"/>
      <c r="KZG34" s="713"/>
      <c r="KZH34" s="713"/>
      <c r="KZI34" s="713"/>
      <c r="KZJ34" s="713"/>
      <c r="KZK34" s="713"/>
      <c r="KZL34" s="713"/>
      <c r="KZM34" s="713"/>
      <c r="KZN34" s="713"/>
      <c r="KZO34" s="713"/>
      <c r="KZP34" s="713"/>
      <c r="KZQ34" s="713"/>
      <c r="KZR34" s="713"/>
      <c r="KZS34" s="713"/>
      <c r="KZT34" s="713"/>
      <c r="KZU34" s="713"/>
      <c r="KZV34" s="713"/>
      <c r="KZW34" s="713"/>
      <c r="KZX34" s="713"/>
      <c r="KZY34" s="713"/>
      <c r="KZZ34" s="713"/>
      <c r="LAA34" s="713"/>
      <c r="LAB34" s="713"/>
      <c r="LAC34" s="713"/>
      <c r="LAD34" s="713"/>
      <c r="LAE34" s="713"/>
      <c r="LAF34" s="713"/>
      <c r="LAG34" s="713"/>
      <c r="LAH34" s="713"/>
      <c r="LAI34" s="713"/>
      <c r="LAJ34" s="713"/>
      <c r="LAK34" s="713"/>
      <c r="LAL34" s="713"/>
      <c r="LAM34" s="713"/>
      <c r="LAN34" s="713"/>
      <c r="LAO34" s="713"/>
      <c r="LAP34" s="713"/>
      <c r="LAQ34" s="713"/>
      <c r="LAR34" s="713"/>
      <c r="LAS34" s="713"/>
      <c r="LAT34" s="713"/>
      <c r="LAU34" s="713"/>
      <c r="LAV34" s="713"/>
      <c r="LAW34" s="713"/>
      <c r="LAX34" s="713"/>
      <c r="LAY34" s="713"/>
      <c r="LAZ34" s="713"/>
      <c r="LBA34" s="713"/>
      <c r="LBB34" s="713"/>
      <c r="LBC34" s="713"/>
      <c r="LBD34" s="713"/>
      <c r="LBE34" s="713"/>
      <c r="LBF34" s="713"/>
      <c r="LBG34" s="713"/>
      <c r="LBH34" s="713"/>
      <c r="LBI34" s="713"/>
      <c r="LBJ34" s="713"/>
      <c r="LBK34" s="713"/>
      <c r="LBL34" s="713"/>
      <c r="LBM34" s="713"/>
      <c r="LBN34" s="713"/>
      <c r="LBO34" s="713"/>
      <c r="LBP34" s="713"/>
      <c r="LBQ34" s="713"/>
      <c r="LBR34" s="713"/>
      <c r="LBS34" s="713"/>
      <c r="LBT34" s="713"/>
      <c r="LBU34" s="713"/>
      <c r="LBV34" s="713"/>
      <c r="LBW34" s="713"/>
      <c r="LBX34" s="713"/>
      <c r="LBY34" s="713"/>
      <c r="LBZ34" s="713"/>
      <c r="LCA34" s="713"/>
      <c r="LCB34" s="713"/>
      <c r="LCC34" s="713"/>
      <c r="LCD34" s="713"/>
      <c r="LCE34" s="713"/>
      <c r="LCF34" s="713"/>
      <c r="LCG34" s="713"/>
      <c r="LCH34" s="713"/>
      <c r="LCI34" s="713"/>
      <c r="LCJ34" s="713"/>
      <c r="LCK34" s="713"/>
      <c r="LCL34" s="713"/>
      <c r="LCM34" s="713"/>
      <c r="LCN34" s="713"/>
      <c r="LCO34" s="713"/>
      <c r="LCP34" s="713"/>
      <c r="LCQ34" s="713"/>
      <c r="LCR34" s="713"/>
      <c r="LCS34" s="713"/>
      <c r="LCT34" s="713"/>
      <c r="LCU34" s="713"/>
      <c r="LCV34" s="713"/>
      <c r="LCW34" s="713"/>
      <c r="LCX34" s="713"/>
      <c r="LCY34" s="713"/>
      <c r="LCZ34" s="713"/>
      <c r="LDA34" s="713"/>
      <c r="LDB34" s="713"/>
      <c r="LDC34" s="713"/>
      <c r="LDD34" s="713"/>
      <c r="LDE34" s="713"/>
      <c r="LDF34" s="713"/>
      <c r="LDG34" s="713"/>
      <c r="LDH34" s="713"/>
      <c r="LDI34" s="713"/>
      <c r="LDJ34" s="713"/>
      <c r="LDK34" s="713"/>
      <c r="LDL34" s="713"/>
      <c r="LDM34" s="713"/>
      <c r="LDN34" s="713"/>
      <c r="LDO34" s="713"/>
      <c r="LDP34" s="713"/>
      <c r="LDQ34" s="713"/>
      <c r="LDR34" s="713"/>
      <c r="LDS34" s="713"/>
      <c r="LDT34" s="713"/>
      <c r="LDU34" s="713"/>
      <c r="LDV34" s="713"/>
      <c r="LDW34" s="713"/>
      <c r="LDX34" s="713"/>
      <c r="LDY34" s="713"/>
      <c r="LDZ34" s="713"/>
      <c r="LEA34" s="713"/>
      <c r="LEB34" s="713"/>
      <c r="LEC34" s="713"/>
      <c r="LED34" s="713"/>
      <c r="LEE34" s="713"/>
      <c r="LEF34" s="713"/>
      <c r="LEG34" s="713"/>
      <c r="LEH34" s="713"/>
      <c r="LEI34" s="713"/>
      <c r="LEJ34" s="713"/>
      <c r="LEK34" s="713"/>
      <c r="LEL34" s="713"/>
      <c r="LEM34" s="713"/>
      <c r="LEN34" s="713"/>
      <c r="LEO34" s="713"/>
      <c r="LEP34" s="713"/>
      <c r="LEQ34" s="713"/>
      <c r="LER34" s="713"/>
      <c r="LES34" s="713"/>
      <c r="LET34" s="713"/>
      <c r="LEU34" s="713"/>
      <c r="LEV34" s="713"/>
      <c r="LEW34" s="713"/>
      <c r="LEX34" s="713"/>
      <c r="LEY34" s="713"/>
      <c r="LEZ34" s="713"/>
      <c r="LFA34" s="713"/>
      <c r="LFB34" s="713"/>
      <c r="LFC34" s="713"/>
      <c r="LFD34" s="713"/>
      <c r="LFE34" s="713"/>
      <c r="LFF34" s="713"/>
      <c r="LFG34" s="713"/>
      <c r="LFH34" s="713"/>
      <c r="LFI34" s="713"/>
      <c r="LFJ34" s="713"/>
      <c r="LFK34" s="713"/>
      <c r="LFL34" s="713"/>
      <c r="LFM34" s="713"/>
      <c r="LFN34" s="713"/>
      <c r="LFO34" s="713"/>
      <c r="LFP34" s="713"/>
      <c r="LFQ34" s="713"/>
      <c r="LFR34" s="713"/>
      <c r="LFS34" s="713"/>
      <c r="LFT34" s="713"/>
      <c r="LFU34" s="713"/>
      <c r="LFV34" s="713"/>
      <c r="LFW34" s="713"/>
      <c r="LFX34" s="713"/>
      <c r="LFY34" s="713"/>
      <c r="LFZ34" s="713"/>
      <c r="LGA34" s="713"/>
      <c r="LGB34" s="713"/>
      <c r="LGC34" s="713"/>
      <c r="LGD34" s="713"/>
      <c r="LGE34" s="713"/>
      <c r="LGF34" s="713"/>
      <c r="LGG34" s="713"/>
      <c r="LGH34" s="713"/>
      <c r="LGI34" s="713"/>
      <c r="LGJ34" s="713"/>
      <c r="LGK34" s="713"/>
      <c r="LGL34" s="713"/>
      <c r="LGM34" s="713"/>
      <c r="LGN34" s="713"/>
      <c r="LGO34" s="713"/>
      <c r="LGP34" s="713"/>
      <c r="LGQ34" s="713"/>
      <c r="LGR34" s="713"/>
      <c r="LGS34" s="713"/>
      <c r="LGT34" s="713"/>
      <c r="LGU34" s="713"/>
      <c r="LGV34" s="713"/>
      <c r="LGW34" s="713"/>
      <c r="LGX34" s="713"/>
      <c r="LGY34" s="713"/>
      <c r="LGZ34" s="713"/>
      <c r="LHA34" s="713"/>
      <c r="LHB34" s="713"/>
      <c r="LHC34" s="713"/>
      <c r="LHD34" s="713"/>
      <c r="LHE34" s="713"/>
      <c r="LHF34" s="713"/>
      <c r="LHG34" s="713"/>
      <c r="LHH34" s="713"/>
      <c r="LHI34" s="713"/>
      <c r="LHJ34" s="713"/>
      <c r="LHK34" s="713"/>
      <c r="LHL34" s="713"/>
      <c r="LHM34" s="713"/>
      <c r="LHN34" s="713"/>
      <c r="LHO34" s="713"/>
      <c r="LHP34" s="713"/>
      <c r="LHQ34" s="713"/>
      <c r="LHR34" s="713"/>
      <c r="LHS34" s="713"/>
      <c r="LHT34" s="713"/>
      <c r="LHU34" s="713"/>
      <c r="LHV34" s="713"/>
      <c r="LHW34" s="713"/>
      <c r="LHX34" s="713"/>
      <c r="LHY34" s="713"/>
      <c r="LHZ34" s="713"/>
      <c r="LIA34" s="713"/>
      <c r="LIB34" s="713"/>
      <c r="LIC34" s="713"/>
      <c r="LID34" s="713"/>
      <c r="LIE34" s="713"/>
      <c r="LIF34" s="713"/>
      <c r="LIG34" s="713"/>
      <c r="LIH34" s="713"/>
      <c r="LII34" s="713"/>
      <c r="LIJ34" s="713"/>
      <c r="LIK34" s="713"/>
      <c r="LIL34" s="713"/>
      <c r="LIM34" s="713"/>
      <c r="LIN34" s="713"/>
      <c r="LIO34" s="713"/>
      <c r="LIP34" s="713"/>
      <c r="LIQ34" s="713"/>
      <c r="LIR34" s="713"/>
      <c r="LIS34" s="713"/>
      <c r="LIT34" s="713"/>
      <c r="LIU34" s="713"/>
      <c r="LIV34" s="713"/>
      <c r="LIW34" s="713"/>
      <c r="LIX34" s="713"/>
      <c r="LIY34" s="713"/>
      <c r="LIZ34" s="713"/>
      <c r="LJA34" s="713"/>
      <c r="LJB34" s="713"/>
      <c r="LJC34" s="713"/>
      <c r="LJD34" s="713"/>
      <c r="LJE34" s="713"/>
      <c r="LJF34" s="713"/>
      <c r="LJG34" s="713"/>
      <c r="LJH34" s="713"/>
      <c r="LJI34" s="713"/>
      <c r="LJJ34" s="713"/>
      <c r="LJK34" s="713"/>
      <c r="LJL34" s="713"/>
      <c r="LJM34" s="713"/>
      <c r="LJN34" s="713"/>
      <c r="LJO34" s="713"/>
      <c r="LJP34" s="713"/>
      <c r="LJQ34" s="713"/>
      <c r="LJR34" s="713"/>
      <c r="LJS34" s="713"/>
      <c r="LJT34" s="713"/>
      <c r="LJU34" s="713"/>
      <c r="LJV34" s="713"/>
      <c r="LJW34" s="713"/>
      <c r="LJX34" s="713"/>
      <c r="LJY34" s="713"/>
      <c r="LJZ34" s="713"/>
      <c r="LKA34" s="713"/>
      <c r="LKB34" s="713"/>
      <c r="LKC34" s="713"/>
      <c r="LKD34" s="713"/>
      <c r="LKE34" s="713"/>
      <c r="LKF34" s="713"/>
      <c r="LKG34" s="713"/>
      <c r="LKH34" s="713"/>
      <c r="LKI34" s="713"/>
      <c r="LKJ34" s="713"/>
      <c r="LKK34" s="713"/>
      <c r="LKL34" s="713"/>
      <c r="LKM34" s="713"/>
      <c r="LKN34" s="713"/>
      <c r="LKO34" s="713"/>
      <c r="LKP34" s="713"/>
      <c r="LKQ34" s="713"/>
      <c r="LKR34" s="713"/>
      <c r="LKS34" s="713"/>
      <c r="LKT34" s="713"/>
      <c r="LKU34" s="713"/>
      <c r="LKV34" s="713"/>
      <c r="LKW34" s="713"/>
      <c r="LKX34" s="713"/>
      <c r="LKY34" s="713"/>
      <c r="LKZ34" s="713"/>
      <c r="LLA34" s="713"/>
      <c r="LLB34" s="713"/>
      <c r="LLC34" s="713"/>
      <c r="LLD34" s="713"/>
      <c r="LLE34" s="713"/>
      <c r="LLF34" s="713"/>
      <c r="LLG34" s="713"/>
      <c r="LLH34" s="713"/>
      <c r="LLI34" s="713"/>
      <c r="LLJ34" s="713"/>
      <c r="LLK34" s="713"/>
      <c r="LLL34" s="713"/>
      <c r="LLM34" s="713"/>
      <c r="LLN34" s="713"/>
      <c r="LLO34" s="713"/>
      <c r="LLP34" s="713"/>
      <c r="LLQ34" s="713"/>
      <c r="LLR34" s="713"/>
      <c r="LLS34" s="713"/>
      <c r="LLT34" s="713"/>
      <c r="LLU34" s="713"/>
      <c r="LLV34" s="713"/>
      <c r="LLW34" s="713"/>
      <c r="LLX34" s="713"/>
      <c r="LLY34" s="713"/>
      <c r="LLZ34" s="713"/>
      <c r="LMA34" s="713"/>
      <c r="LMB34" s="713"/>
      <c r="LMC34" s="713"/>
      <c r="LMD34" s="713"/>
      <c r="LME34" s="713"/>
      <c r="LMF34" s="713"/>
      <c r="LMG34" s="713"/>
      <c r="LMH34" s="713"/>
      <c r="LMI34" s="713"/>
      <c r="LMJ34" s="713"/>
      <c r="LMK34" s="713"/>
      <c r="LML34" s="713"/>
      <c r="LMM34" s="713"/>
      <c r="LMN34" s="713"/>
      <c r="LMO34" s="713"/>
      <c r="LMP34" s="713"/>
      <c r="LMQ34" s="713"/>
      <c r="LMR34" s="713"/>
      <c r="LMS34" s="713"/>
      <c r="LMT34" s="713"/>
      <c r="LMU34" s="713"/>
      <c r="LMV34" s="713"/>
      <c r="LMW34" s="713"/>
      <c r="LMX34" s="713"/>
      <c r="LMY34" s="713"/>
      <c r="LMZ34" s="713"/>
      <c r="LNA34" s="713"/>
      <c r="LNB34" s="713"/>
      <c r="LNC34" s="713"/>
      <c r="LND34" s="713"/>
      <c r="LNE34" s="713"/>
      <c r="LNF34" s="713"/>
      <c r="LNG34" s="713"/>
      <c r="LNH34" s="713"/>
      <c r="LNI34" s="713"/>
      <c r="LNJ34" s="713"/>
      <c r="LNK34" s="713"/>
      <c r="LNL34" s="713"/>
      <c r="LNM34" s="713"/>
      <c r="LNN34" s="713"/>
      <c r="LNO34" s="713"/>
      <c r="LNP34" s="713"/>
      <c r="LNQ34" s="713"/>
      <c r="LNR34" s="713"/>
      <c r="LNS34" s="713"/>
      <c r="LNT34" s="713"/>
      <c r="LNU34" s="713"/>
      <c r="LNV34" s="713"/>
      <c r="LNW34" s="713"/>
      <c r="LNX34" s="713"/>
      <c r="LNY34" s="713"/>
      <c r="LNZ34" s="713"/>
      <c r="LOA34" s="713"/>
      <c r="LOB34" s="713"/>
      <c r="LOC34" s="713"/>
      <c r="LOD34" s="713"/>
      <c r="LOE34" s="713"/>
      <c r="LOF34" s="713"/>
      <c r="LOG34" s="713"/>
      <c r="LOH34" s="713"/>
      <c r="LOI34" s="713"/>
      <c r="LOJ34" s="713"/>
      <c r="LOK34" s="713"/>
      <c r="LOL34" s="713"/>
      <c r="LOM34" s="713"/>
      <c r="LON34" s="713"/>
      <c r="LOO34" s="713"/>
      <c r="LOP34" s="713"/>
      <c r="LOQ34" s="713"/>
      <c r="LOR34" s="713"/>
      <c r="LOS34" s="713"/>
      <c r="LOT34" s="713"/>
      <c r="LOU34" s="713"/>
      <c r="LOV34" s="713"/>
      <c r="LOW34" s="713"/>
      <c r="LOX34" s="713"/>
      <c r="LOY34" s="713"/>
      <c r="LOZ34" s="713"/>
      <c r="LPA34" s="713"/>
      <c r="LPB34" s="713"/>
      <c r="LPC34" s="713"/>
      <c r="LPD34" s="713"/>
      <c r="LPE34" s="713"/>
      <c r="LPF34" s="713"/>
      <c r="LPG34" s="713"/>
      <c r="LPH34" s="713"/>
      <c r="LPI34" s="713"/>
      <c r="LPJ34" s="713"/>
      <c r="LPK34" s="713"/>
      <c r="LPL34" s="713"/>
      <c r="LPM34" s="713"/>
      <c r="LPN34" s="713"/>
      <c r="LPO34" s="713"/>
      <c r="LPP34" s="713"/>
      <c r="LPQ34" s="713"/>
      <c r="LPR34" s="713"/>
      <c r="LPS34" s="713"/>
      <c r="LPT34" s="713"/>
      <c r="LPU34" s="713"/>
      <c r="LPV34" s="713"/>
      <c r="LPW34" s="713"/>
      <c r="LPX34" s="713"/>
      <c r="LPY34" s="713"/>
      <c r="LPZ34" s="713"/>
      <c r="LQA34" s="713"/>
      <c r="LQB34" s="713"/>
      <c r="LQC34" s="713"/>
      <c r="LQD34" s="713"/>
      <c r="LQE34" s="713"/>
      <c r="LQF34" s="713"/>
      <c r="LQG34" s="713"/>
      <c r="LQH34" s="713"/>
      <c r="LQI34" s="713"/>
      <c r="LQJ34" s="713"/>
      <c r="LQK34" s="713"/>
      <c r="LQL34" s="713"/>
      <c r="LQM34" s="713"/>
      <c r="LQN34" s="713"/>
      <c r="LQO34" s="713"/>
      <c r="LQP34" s="713"/>
      <c r="LQQ34" s="713"/>
      <c r="LQR34" s="713"/>
      <c r="LQS34" s="713"/>
      <c r="LQT34" s="713"/>
      <c r="LQU34" s="713"/>
      <c r="LQV34" s="713"/>
      <c r="LQW34" s="713"/>
      <c r="LQX34" s="713"/>
      <c r="LQY34" s="713"/>
      <c r="LQZ34" s="713"/>
      <c r="LRA34" s="713"/>
      <c r="LRB34" s="713"/>
      <c r="LRC34" s="713"/>
      <c r="LRD34" s="713"/>
      <c r="LRE34" s="713"/>
      <c r="LRF34" s="713"/>
      <c r="LRG34" s="713"/>
      <c r="LRH34" s="713"/>
      <c r="LRI34" s="713"/>
      <c r="LRJ34" s="713"/>
      <c r="LRK34" s="713"/>
      <c r="LRL34" s="713"/>
      <c r="LRM34" s="713"/>
      <c r="LRN34" s="713"/>
      <c r="LRO34" s="713"/>
      <c r="LRP34" s="713"/>
      <c r="LRQ34" s="713"/>
      <c r="LRR34" s="713"/>
      <c r="LRS34" s="713"/>
      <c r="LRT34" s="713"/>
      <c r="LRU34" s="713"/>
      <c r="LRV34" s="713"/>
      <c r="LRW34" s="713"/>
      <c r="LRX34" s="713"/>
      <c r="LRY34" s="713"/>
      <c r="LRZ34" s="713"/>
      <c r="LSA34" s="713"/>
      <c r="LSB34" s="713"/>
      <c r="LSC34" s="713"/>
      <c r="LSD34" s="713"/>
      <c r="LSE34" s="713"/>
      <c r="LSF34" s="713"/>
      <c r="LSG34" s="713"/>
      <c r="LSH34" s="713"/>
      <c r="LSI34" s="713"/>
      <c r="LSJ34" s="713"/>
      <c r="LSK34" s="713"/>
      <c r="LSL34" s="713"/>
      <c r="LSM34" s="713"/>
      <c r="LSN34" s="713"/>
      <c r="LSO34" s="713"/>
      <c r="LSP34" s="713"/>
      <c r="LSQ34" s="713"/>
      <c r="LSR34" s="713"/>
      <c r="LSS34" s="713"/>
      <c r="LST34" s="713"/>
      <c r="LSU34" s="713"/>
      <c r="LSV34" s="713"/>
      <c r="LSW34" s="713"/>
      <c r="LSX34" s="713"/>
      <c r="LSY34" s="713"/>
      <c r="LSZ34" s="713"/>
      <c r="LTA34" s="713"/>
      <c r="LTB34" s="713"/>
      <c r="LTC34" s="713"/>
      <c r="LTD34" s="713"/>
      <c r="LTE34" s="713"/>
      <c r="LTF34" s="713"/>
      <c r="LTG34" s="713"/>
      <c r="LTH34" s="713"/>
      <c r="LTI34" s="713"/>
      <c r="LTJ34" s="713"/>
      <c r="LTK34" s="713"/>
      <c r="LTL34" s="713"/>
      <c r="LTM34" s="713"/>
      <c r="LTN34" s="713"/>
      <c r="LTO34" s="713"/>
      <c r="LTP34" s="713"/>
      <c r="LTQ34" s="713"/>
      <c r="LTR34" s="713"/>
      <c r="LTS34" s="713"/>
      <c r="LTT34" s="713"/>
      <c r="LTU34" s="713"/>
      <c r="LTV34" s="713"/>
      <c r="LTW34" s="713"/>
      <c r="LTX34" s="713"/>
      <c r="LTY34" s="713"/>
      <c r="LTZ34" s="713"/>
      <c r="LUA34" s="713"/>
      <c r="LUB34" s="713"/>
      <c r="LUC34" s="713"/>
      <c r="LUD34" s="713"/>
      <c r="LUE34" s="713"/>
      <c r="LUF34" s="713"/>
      <c r="LUG34" s="713"/>
      <c r="LUH34" s="713"/>
      <c r="LUI34" s="713"/>
      <c r="LUJ34" s="713"/>
      <c r="LUK34" s="713"/>
      <c r="LUL34" s="713"/>
      <c r="LUM34" s="713"/>
      <c r="LUN34" s="713"/>
      <c r="LUO34" s="713"/>
      <c r="LUP34" s="713"/>
      <c r="LUQ34" s="713"/>
      <c r="LUR34" s="713"/>
      <c r="LUS34" s="713"/>
      <c r="LUT34" s="713"/>
      <c r="LUU34" s="713"/>
      <c r="LUV34" s="713"/>
      <c r="LUW34" s="713"/>
      <c r="LUX34" s="713"/>
      <c r="LUY34" s="713"/>
      <c r="LUZ34" s="713"/>
      <c r="LVA34" s="713"/>
      <c r="LVB34" s="713"/>
      <c r="LVC34" s="713"/>
      <c r="LVD34" s="713"/>
      <c r="LVE34" s="713"/>
      <c r="LVF34" s="713"/>
      <c r="LVG34" s="713"/>
      <c r="LVH34" s="713"/>
      <c r="LVI34" s="713"/>
      <c r="LVJ34" s="713"/>
      <c r="LVK34" s="713"/>
      <c r="LVL34" s="713"/>
      <c r="LVM34" s="713"/>
      <c r="LVN34" s="713"/>
      <c r="LVO34" s="713"/>
      <c r="LVP34" s="713"/>
      <c r="LVQ34" s="713"/>
      <c r="LVR34" s="713"/>
      <c r="LVS34" s="713"/>
      <c r="LVT34" s="713"/>
      <c r="LVU34" s="713"/>
      <c r="LVV34" s="713"/>
      <c r="LVW34" s="713"/>
      <c r="LVX34" s="713"/>
      <c r="LVY34" s="713"/>
      <c r="LVZ34" s="713"/>
      <c r="LWA34" s="713"/>
      <c r="LWB34" s="713"/>
      <c r="LWC34" s="713"/>
      <c r="LWD34" s="713"/>
      <c r="LWE34" s="713"/>
      <c r="LWF34" s="713"/>
      <c r="LWG34" s="713"/>
      <c r="LWH34" s="713"/>
      <c r="LWI34" s="713"/>
      <c r="LWJ34" s="713"/>
      <c r="LWK34" s="713"/>
      <c r="LWL34" s="713"/>
      <c r="LWM34" s="713"/>
      <c r="LWN34" s="713"/>
      <c r="LWO34" s="713"/>
      <c r="LWP34" s="713"/>
      <c r="LWQ34" s="713"/>
      <c r="LWR34" s="713"/>
      <c r="LWS34" s="713"/>
      <c r="LWT34" s="713"/>
      <c r="LWU34" s="713"/>
      <c r="LWV34" s="713"/>
      <c r="LWW34" s="713"/>
      <c r="LWX34" s="713"/>
      <c r="LWY34" s="713"/>
      <c r="LWZ34" s="713"/>
      <c r="LXA34" s="713"/>
      <c r="LXB34" s="713"/>
      <c r="LXC34" s="713"/>
      <c r="LXD34" s="713"/>
      <c r="LXE34" s="713"/>
      <c r="LXF34" s="713"/>
      <c r="LXG34" s="713"/>
      <c r="LXH34" s="713"/>
      <c r="LXI34" s="713"/>
      <c r="LXJ34" s="713"/>
      <c r="LXK34" s="713"/>
      <c r="LXL34" s="713"/>
      <c r="LXM34" s="713"/>
      <c r="LXN34" s="713"/>
      <c r="LXO34" s="713"/>
      <c r="LXP34" s="713"/>
      <c r="LXQ34" s="713"/>
      <c r="LXR34" s="713"/>
      <c r="LXS34" s="713"/>
      <c r="LXT34" s="713"/>
      <c r="LXU34" s="713"/>
      <c r="LXV34" s="713"/>
      <c r="LXW34" s="713"/>
      <c r="LXX34" s="713"/>
      <c r="LXY34" s="713"/>
      <c r="LXZ34" s="713"/>
      <c r="LYA34" s="713"/>
      <c r="LYB34" s="713"/>
      <c r="LYC34" s="713"/>
      <c r="LYD34" s="713"/>
      <c r="LYE34" s="713"/>
      <c r="LYF34" s="713"/>
      <c r="LYG34" s="713"/>
      <c r="LYH34" s="713"/>
      <c r="LYI34" s="713"/>
      <c r="LYJ34" s="713"/>
      <c r="LYK34" s="713"/>
      <c r="LYL34" s="713"/>
      <c r="LYM34" s="713"/>
      <c r="LYN34" s="713"/>
      <c r="LYO34" s="713"/>
      <c r="LYP34" s="713"/>
      <c r="LYQ34" s="713"/>
      <c r="LYR34" s="713"/>
      <c r="LYS34" s="713"/>
      <c r="LYT34" s="713"/>
      <c r="LYU34" s="713"/>
      <c r="LYV34" s="713"/>
      <c r="LYW34" s="713"/>
      <c r="LYX34" s="713"/>
      <c r="LYY34" s="713"/>
      <c r="LYZ34" s="713"/>
      <c r="LZA34" s="713"/>
      <c r="LZB34" s="713"/>
      <c r="LZC34" s="713"/>
      <c r="LZD34" s="713"/>
      <c r="LZE34" s="713"/>
      <c r="LZF34" s="713"/>
      <c r="LZG34" s="713"/>
      <c r="LZH34" s="713"/>
      <c r="LZI34" s="713"/>
      <c r="LZJ34" s="713"/>
      <c r="LZK34" s="713"/>
      <c r="LZL34" s="713"/>
      <c r="LZM34" s="713"/>
      <c r="LZN34" s="713"/>
      <c r="LZO34" s="713"/>
      <c r="LZP34" s="713"/>
      <c r="LZQ34" s="713"/>
      <c r="LZR34" s="713"/>
      <c r="LZS34" s="713"/>
      <c r="LZT34" s="713"/>
      <c r="LZU34" s="713"/>
      <c r="LZV34" s="713"/>
      <c r="LZW34" s="713"/>
      <c r="LZX34" s="713"/>
      <c r="LZY34" s="713"/>
      <c r="LZZ34" s="713"/>
      <c r="MAA34" s="713"/>
      <c r="MAB34" s="713"/>
      <c r="MAC34" s="713"/>
      <c r="MAD34" s="713"/>
      <c r="MAE34" s="713"/>
      <c r="MAF34" s="713"/>
      <c r="MAG34" s="713"/>
      <c r="MAH34" s="713"/>
      <c r="MAI34" s="713"/>
      <c r="MAJ34" s="713"/>
      <c r="MAK34" s="713"/>
      <c r="MAL34" s="713"/>
      <c r="MAM34" s="713"/>
      <c r="MAN34" s="713"/>
      <c r="MAO34" s="713"/>
      <c r="MAP34" s="713"/>
      <c r="MAQ34" s="713"/>
      <c r="MAR34" s="713"/>
      <c r="MAS34" s="713"/>
      <c r="MAT34" s="713"/>
      <c r="MAU34" s="713"/>
      <c r="MAV34" s="713"/>
      <c r="MAW34" s="713"/>
      <c r="MAX34" s="713"/>
      <c r="MAY34" s="713"/>
      <c r="MAZ34" s="713"/>
      <c r="MBA34" s="713"/>
      <c r="MBB34" s="713"/>
      <c r="MBC34" s="713"/>
      <c r="MBD34" s="713"/>
      <c r="MBE34" s="713"/>
      <c r="MBF34" s="713"/>
      <c r="MBG34" s="713"/>
      <c r="MBH34" s="713"/>
      <c r="MBI34" s="713"/>
      <c r="MBJ34" s="713"/>
      <c r="MBK34" s="713"/>
      <c r="MBL34" s="713"/>
      <c r="MBM34" s="713"/>
      <c r="MBN34" s="713"/>
      <c r="MBO34" s="713"/>
      <c r="MBP34" s="713"/>
      <c r="MBQ34" s="713"/>
      <c r="MBR34" s="713"/>
      <c r="MBS34" s="713"/>
      <c r="MBT34" s="713"/>
      <c r="MBU34" s="713"/>
      <c r="MBV34" s="713"/>
      <c r="MBW34" s="713"/>
      <c r="MBX34" s="713"/>
      <c r="MBY34" s="713"/>
      <c r="MBZ34" s="713"/>
      <c r="MCA34" s="713"/>
      <c r="MCB34" s="713"/>
      <c r="MCC34" s="713"/>
      <c r="MCD34" s="713"/>
      <c r="MCE34" s="713"/>
      <c r="MCF34" s="713"/>
      <c r="MCG34" s="713"/>
      <c r="MCH34" s="713"/>
      <c r="MCI34" s="713"/>
      <c r="MCJ34" s="713"/>
      <c r="MCK34" s="713"/>
      <c r="MCL34" s="713"/>
      <c r="MCM34" s="713"/>
      <c r="MCN34" s="713"/>
      <c r="MCO34" s="713"/>
      <c r="MCP34" s="713"/>
      <c r="MCQ34" s="713"/>
      <c r="MCR34" s="713"/>
      <c r="MCS34" s="713"/>
      <c r="MCT34" s="713"/>
      <c r="MCU34" s="713"/>
      <c r="MCV34" s="713"/>
      <c r="MCW34" s="713"/>
      <c r="MCX34" s="713"/>
      <c r="MCY34" s="713"/>
      <c r="MCZ34" s="713"/>
      <c r="MDA34" s="713"/>
      <c r="MDB34" s="713"/>
      <c r="MDC34" s="713"/>
      <c r="MDD34" s="713"/>
      <c r="MDE34" s="713"/>
      <c r="MDF34" s="713"/>
      <c r="MDG34" s="713"/>
      <c r="MDH34" s="713"/>
      <c r="MDI34" s="713"/>
      <c r="MDJ34" s="713"/>
      <c r="MDK34" s="713"/>
      <c r="MDL34" s="713"/>
      <c r="MDM34" s="713"/>
      <c r="MDN34" s="713"/>
      <c r="MDO34" s="713"/>
      <c r="MDP34" s="713"/>
      <c r="MDQ34" s="713"/>
      <c r="MDR34" s="713"/>
      <c r="MDS34" s="713"/>
      <c r="MDT34" s="713"/>
      <c r="MDU34" s="713"/>
      <c r="MDV34" s="713"/>
      <c r="MDW34" s="713"/>
      <c r="MDX34" s="713"/>
      <c r="MDY34" s="713"/>
      <c r="MDZ34" s="713"/>
      <c r="MEA34" s="713"/>
      <c r="MEB34" s="713"/>
      <c r="MEC34" s="713"/>
      <c r="MED34" s="713"/>
      <c r="MEE34" s="713"/>
      <c r="MEF34" s="713"/>
      <c r="MEG34" s="713"/>
      <c r="MEH34" s="713"/>
      <c r="MEI34" s="713"/>
      <c r="MEJ34" s="713"/>
      <c r="MEK34" s="713"/>
      <c r="MEL34" s="713"/>
      <c r="MEM34" s="713"/>
      <c r="MEN34" s="713"/>
      <c r="MEO34" s="713"/>
      <c r="MEP34" s="713"/>
      <c r="MEQ34" s="713"/>
      <c r="MER34" s="713"/>
      <c r="MES34" s="713"/>
      <c r="MET34" s="713"/>
      <c r="MEU34" s="713"/>
      <c r="MEV34" s="713"/>
      <c r="MEW34" s="713"/>
      <c r="MEX34" s="713"/>
      <c r="MEY34" s="713"/>
      <c r="MEZ34" s="713"/>
      <c r="MFA34" s="713"/>
      <c r="MFB34" s="713"/>
      <c r="MFC34" s="713"/>
      <c r="MFD34" s="713"/>
      <c r="MFE34" s="713"/>
      <c r="MFF34" s="713"/>
      <c r="MFG34" s="713"/>
      <c r="MFH34" s="713"/>
      <c r="MFI34" s="713"/>
      <c r="MFJ34" s="713"/>
      <c r="MFK34" s="713"/>
      <c r="MFL34" s="713"/>
      <c r="MFM34" s="713"/>
      <c r="MFN34" s="713"/>
      <c r="MFO34" s="713"/>
      <c r="MFP34" s="713"/>
      <c r="MFQ34" s="713"/>
      <c r="MFR34" s="713"/>
      <c r="MFS34" s="713"/>
      <c r="MFT34" s="713"/>
      <c r="MFU34" s="713"/>
      <c r="MFV34" s="713"/>
      <c r="MFW34" s="713"/>
      <c r="MFX34" s="713"/>
      <c r="MFY34" s="713"/>
      <c r="MFZ34" s="713"/>
      <c r="MGA34" s="713"/>
      <c r="MGB34" s="713"/>
      <c r="MGC34" s="713"/>
      <c r="MGD34" s="713"/>
      <c r="MGE34" s="713"/>
      <c r="MGF34" s="713"/>
      <c r="MGG34" s="713"/>
      <c r="MGH34" s="713"/>
      <c r="MGI34" s="713"/>
      <c r="MGJ34" s="713"/>
      <c r="MGK34" s="713"/>
      <c r="MGL34" s="713"/>
      <c r="MGM34" s="713"/>
      <c r="MGN34" s="713"/>
      <c r="MGO34" s="713"/>
      <c r="MGP34" s="713"/>
      <c r="MGQ34" s="713"/>
      <c r="MGR34" s="713"/>
      <c r="MGS34" s="713"/>
      <c r="MGT34" s="713"/>
      <c r="MGU34" s="713"/>
      <c r="MGV34" s="713"/>
      <c r="MGW34" s="713"/>
      <c r="MGX34" s="713"/>
      <c r="MGY34" s="713"/>
      <c r="MGZ34" s="713"/>
      <c r="MHA34" s="713"/>
      <c r="MHB34" s="713"/>
      <c r="MHC34" s="713"/>
      <c r="MHD34" s="713"/>
      <c r="MHE34" s="713"/>
      <c r="MHF34" s="713"/>
      <c r="MHG34" s="713"/>
      <c r="MHH34" s="713"/>
      <c r="MHI34" s="713"/>
      <c r="MHJ34" s="713"/>
      <c r="MHK34" s="713"/>
      <c r="MHL34" s="713"/>
      <c r="MHM34" s="713"/>
      <c r="MHN34" s="713"/>
      <c r="MHO34" s="713"/>
      <c r="MHP34" s="713"/>
      <c r="MHQ34" s="713"/>
      <c r="MHR34" s="713"/>
      <c r="MHS34" s="713"/>
      <c r="MHT34" s="713"/>
      <c r="MHU34" s="713"/>
      <c r="MHV34" s="713"/>
      <c r="MHW34" s="713"/>
      <c r="MHX34" s="713"/>
      <c r="MHY34" s="713"/>
      <c r="MHZ34" s="713"/>
      <c r="MIA34" s="713"/>
      <c r="MIB34" s="713"/>
      <c r="MIC34" s="713"/>
      <c r="MID34" s="713"/>
      <c r="MIE34" s="713"/>
      <c r="MIF34" s="713"/>
      <c r="MIG34" s="713"/>
      <c r="MIH34" s="713"/>
      <c r="MII34" s="713"/>
      <c r="MIJ34" s="713"/>
      <c r="MIK34" s="713"/>
      <c r="MIL34" s="713"/>
      <c r="MIM34" s="713"/>
      <c r="MIN34" s="713"/>
      <c r="MIO34" s="713"/>
      <c r="MIP34" s="713"/>
      <c r="MIQ34" s="713"/>
      <c r="MIR34" s="713"/>
      <c r="MIS34" s="713"/>
      <c r="MIT34" s="713"/>
      <c r="MIU34" s="713"/>
      <c r="MIV34" s="713"/>
      <c r="MIW34" s="713"/>
      <c r="MIX34" s="713"/>
      <c r="MIY34" s="713"/>
      <c r="MIZ34" s="713"/>
      <c r="MJA34" s="713"/>
      <c r="MJB34" s="713"/>
      <c r="MJC34" s="713"/>
      <c r="MJD34" s="713"/>
      <c r="MJE34" s="713"/>
      <c r="MJF34" s="713"/>
      <c r="MJG34" s="713"/>
      <c r="MJH34" s="713"/>
      <c r="MJI34" s="713"/>
      <c r="MJJ34" s="713"/>
      <c r="MJK34" s="713"/>
      <c r="MJL34" s="713"/>
      <c r="MJM34" s="713"/>
      <c r="MJN34" s="713"/>
      <c r="MJO34" s="713"/>
      <c r="MJP34" s="713"/>
      <c r="MJQ34" s="713"/>
      <c r="MJR34" s="713"/>
      <c r="MJS34" s="713"/>
      <c r="MJT34" s="713"/>
      <c r="MJU34" s="713"/>
      <c r="MJV34" s="713"/>
      <c r="MJW34" s="713"/>
      <c r="MJX34" s="713"/>
      <c r="MJY34" s="713"/>
      <c r="MJZ34" s="713"/>
      <c r="MKA34" s="713"/>
      <c r="MKB34" s="713"/>
      <c r="MKC34" s="713"/>
      <c r="MKD34" s="713"/>
      <c r="MKE34" s="713"/>
      <c r="MKF34" s="713"/>
      <c r="MKG34" s="713"/>
      <c r="MKH34" s="713"/>
      <c r="MKI34" s="713"/>
      <c r="MKJ34" s="713"/>
      <c r="MKK34" s="713"/>
      <c r="MKL34" s="713"/>
      <c r="MKM34" s="713"/>
      <c r="MKN34" s="713"/>
      <c r="MKO34" s="713"/>
      <c r="MKP34" s="713"/>
      <c r="MKQ34" s="713"/>
      <c r="MKR34" s="713"/>
      <c r="MKS34" s="713"/>
      <c r="MKT34" s="713"/>
      <c r="MKU34" s="713"/>
      <c r="MKV34" s="713"/>
      <c r="MKW34" s="713"/>
      <c r="MKX34" s="713"/>
      <c r="MKY34" s="713"/>
      <c r="MKZ34" s="713"/>
      <c r="MLA34" s="713"/>
      <c r="MLB34" s="713"/>
      <c r="MLC34" s="713"/>
      <c r="MLD34" s="713"/>
      <c r="MLE34" s="713"/>
      <c r="MLF34" s="713"/>
      <c r="MLG34" s="713"/>
      <c r="MLH34" s="713"/>
      <c r="MLI34" s="713"/>
      <c r="MLJ34" s="713"/>
      <c r="MLK34" s="713"/>
      <c r="MLL34" s="713"/>
      <c r="MLM34" s="713"/>
      <c r="MLN34" s="713"/>
      <c r="MLO34" s="713"/>
      <c r="MLP34" s="713"/>
      <c r="MLQ34" s="713"/>
      <c r="MLR34" s="713"/>
      <c r="MLS34" s="713"/>
      <c r="MLT34" s="713"/>
      <c r="MLU34" s="713"/>
      <c r="MLV34" s="713"/>
      <c r="MLW34" s="713"/>
      <c r="MLX34" s="713"/>
      <c r="MLY34" s="713"/>
      <c r="MLZ34" s="713"/>
      <c r="MMA34" s="713"/>
      <c r="MMB34" s="713"/>
      <c r="MMC34" s="713"/>
      <c r="MMD34" s="713"/>
      <c r="MME34" s="713"/>
      <c r="MMF34" s="713"/>
      <c r="MMG34" s="713"/>
      <c r="MMH34" s="713"/>
      <c r="MMI34" s="713"/>
      <c r="MMJ34" s="713"/>
      <c r="MMK34" s="713"/>
      <c r="MML34" s="713"/>
      <c r="MMM34" s="713"/>
      <c r="MMN34" s="713"/>
      <c r="MMO34" s="713"/>
      <c r="MMP34" s="713"/>
      <c r="MMQ34" s="713"/>
      <c r="MMR34" s="713"/>
      <c r="MMS34" s="713"/>
      <c r="MMT34" s="713"/>
      <c r="MMU34" s="713"/>
      <c r="MMV34" s="713"/>
      <c r="MMW34" s="713"/>
      <c r="MMX34" s="713"/>
      <c r="MMY34" s="713"/>
      <c r="MMZ34" s="713"/>
      <c r="MNA34" s="713"/>
      <c r="MNB34" s="713"/>
      <c r="MNC34" s="713"/>
      <c r="MND34" s="713"/>
      <c r="MNE34" s="713"/>
      <c r="MNF34" s="713"/>
      <c r="MNG34" s="713"/>
      <c r="MNH34" s="713"/>
      <c r="MNI34" s="713"/>
      <c r="MNJ34" s="713"/>
      <c r="MNK34" s="713"/>
      <c r="MNL34" s="713"/>
      <c r="MNM34" s="713"/>
      <c r="MNN34" s="713"/>
      <c r="MNO34" s="713"/>
      <c r="MNP34" s="713"/>
      <c r="MNQ34" s="713"/>
      <c r="MNR34" s="713"/>
      <c r="MNS34" s="713"/>
      <c r="MNT34" s="713"/>
      <c r="MNU34" s="713"/>
      <c r="MNV34" s="713"/>
      <c r="MNW34" s="713"/>
      <c r="MNX34" s="713"/>
      <c r="MNY34" s="713"/>
      <c r="MNZ34" s="713"/>
      <c r="MOA34" s="713"/>
      <c r="MOB34" s="713"/>
      <c r="MOC34" s="713"/>
      <c r="MOD34" s="713"/>
      <c r="MOE34" s="713"/>
      <c r="MOF34" s="713"/>
      <c r="MOG34" s="713"/>
      <c r="MOH34" s="713"/>
      <c r="MOI34" s="713"/>
      <c r="MOJ34" s="713"/>
      <c r="MOK34" s="713"/>
      <c r="MOL34" s="713"/>
      <c r="MOM34" s="713"/>
      <c r="MON34" s="713"/>
      <c r="MOO34" s="713"/>
      <c r="MOP34" s="713"/>
      <c r="MOQ34" s="713"/>
      <c r="MOR34" s="713"/>
      <c r="MOS34" s="713"/>
      <c r="MOT34" s="713"/>
      <c r="MOU34" s="713"/>
      <c r="MOV34" s="713"/>
      <c r="MOW34" s="713"/>
      <c r="MOX34" s="713"/>
      <c r="MOY34" s="713"/>
      <c r="MOZ34" s="713"/>
      <c r="MPA34" s="713"/>
      <c r="MPB34" s="713"/>
      <c r="MPC34" s="713"/>
      <c r="MPD34" s="713"/>
      <c r="MPE34" s="713"/>
      <c r="MPF34" s="713"/>
      <c r="MPG34" s="713"/>
      <c r="MPH34" s="713"/>
      <c r="MPI34" s="713"/>
      <c r="MPJ34" s="713"/>
      <c r="MPK34" s="713"/>
      <c r="MPL34" s="713"/>
      <c r="MPM34" s="713"/>
      <c r="MPN34" s="713"/>
      <c r="MPO34" s="713"/>
      <c r="MPP34" s="713"/>
      <c r="MPQ34" s="713"/>
      <c r="MPR34" s="713"/>
      <c r="MPS34" s="713"/>
      <c r="MPT34" s="713"/>
      <c r="MPU34" s="713"/>
      <c r="MPV34" s="713"/>
      <c r="MPW34" s="713"/>
      <c r="MPX34" s="713"/>
      <c r="MPY34" s="713"/>
      <c r="MPZ34" s="713"/>
      <c r="MQA34" s="713"/>
      <c r="MQB34" s="713"/>
      <c r="MQC34" s="713"/>
      <c r="MQD34" s="713"/>
      <c r="MQE34" s="713"/>
      <c r="MQF34" s="713"/>
      <c r="MQG34" s="713"/>
      <c r="MQH34" s="713"/>
      <c r="MQI34" s="713"/>
      <c r="MQJ34" s="713"/>
      <c r="MQK34" s="713"/>
      <c r="MQL34" s="713"/>
      <c r="MQM34" s="713"/>
      <c r="MQN34" s="713"/>
      <c r="MQO34" s="713"/>
      <c r="MQP34" s="713"/>
      <c r="MQQ34" s="713"/>
      <c r="MQR34" s="713"/>
      <c r="MQS34" s="713"/>
      <c r="MQT34" s="713"/>
      <c r="MQU34" s="713"/>
      <c r="MQV34" s="713"/>
      <c r="MQW34" s="713"/>
      <c r="MQX34" s="713"/>
      <c r="MQY34" s="713"/>
      <c r="MQZ34" s="713"/>
      <c r="MRA34" s="713"/>
      <c r="MRB34" s="713"/>
      <c r="MRC34" s="713"/>
      <c r="MRD34" s="713"/>
      <c r="MRE34" s="713"/>
      <c r="MRF34" s="713"/>
      <c r="MRG34" s="713"/>
      <c r="MRH34" s="713"/>
      <c r="MRI34" s="713"/>
      <c r="MRJ34" s="713"/>
      <c r="MRK34" s="713"/>
      <c r="MRL34" s="713"/>
      <c r="MRM34" s="713"/>
      <c r="MRN34" s="713"/>
      <c r="MRO34" s="713"/>
      <c r="MRP34" s="713"/>
      <c r="MRQ34" s="713"/>
      <c r="MRR34" s="713"/>
      <c r="MRS34" s="713"/>
      <c r="MRT34" s="713"/>
      <c r="MRU34" s="713"/>
      <c r="MRV34" s="713"/>
      <c r="MRW34" s="713"/>
      <c r="MRX34" s="713"/>
      <c r="MRY34" s="713"/>
      <c r="MRZ34" s="713"/>
      <c r="MSA34" s="713"/>
      <c r="MSB34" s="713"/>
      <c r="MSC34" s="713"/>
      <c r="MSD34" s="713"/>
      <c r="MSE34" s="713"/>
      <c r="MSF34" s="713"/>
      <c r="MSG34" s="713"/>
      <c r="MSH34" s="713"/>
      <c r="MSI34" s="713"/>
      <c r="MSJ34" s="713"/>
      <c r="MSK34" s="713"/>
      <c r="MSL34" s="713"/>
      <c r="MSM34" s="713"/>
      <c r="MSN34" s="713"/>
      <c r="MSO34" s="713"/>
      <c r="MSP34" s="713"/>
      <c r="MSQ34" s="713"/>
      <c r="MSR34" s="713"/>
      <c r="MSS34" s="713"/>
      <c r="MST34" s="713"/>
      <c r="MSU34" s="713"/>
      <c r="MSV34" s="713"/>
      <c r="MSW34" s="713"/>
      <c r="MSX34" s="713"/>
      <c r="MSY34" s="713"/>
      <c r="MSZ34" s="713"/>
      <c r="MTA34" s="713"/>
      <c r="MTB34" s="713"/>
      <c r="MTC34" s="713"/>
      <c r="MTD34" s="713"/>
      <c r="MTE34" s="713"/>
      <c r="MTF34" s="713"/>
      <c r="MTG34" s="713"/>
      <c r="MTH34" s="713"/>
      <c r="MTI34" s="713"/>
      <c r="MTJ34" s="713"/>
      <c r="MTK34" s="713"/>
      <c r="MTL34" s="713"/>
      <c r="MTM34" s="713"/>
      <c r="MTN34" s="713"/>
      <c r="MTO34" s="713"/>
      <c r="MTP34" s="713"/>
      <c r="MTQ34" s="713"/>
      <c r="MTR34" s="713"/>
      <c r="MTS34" s="713"/>
      <c r="MTT34" s="713"/>
      <c r="MTU34" s="713"/>
      <c r="MTV34" s="713"/>
      <c r="MTW34" s="713"/>
      <c r="MTX34" s="713"/>
      <c r="MTY34" s="713"/>
      <c r="MTZ34" s="713"/>
      <c r="MUA34" s="713"/>
      <c r="MUB34" s="713"/>
      <c r="MUC34" s="713"/>
      <c r="MUD34" s="713"/>
      <c r="MUE34" s="713"/>
      <c r="MUF34" s="713"/>
      <c r="MUG34" s="713"/>
      <c r="MUH34" s="713"/>
      <c r="MUI34" s="713"/>
      <c r="MUJ34" s="713"/>
      <c r="MUK34" s="713"/>
      <c r="MUL34" s="713"/>
      <c r="MUM34" s="713"/>
      <c r="MUN34" s="713"/>
      <c r="MUO34" s="713"/>
      <c r="MUP34" s="713"/>
      <c r="MUQ34" s="713"/>
      <c r="MUR34" s="713"/>
      <c r="MUS34" s="713"/>
      <c r="MUT34" s="713"/>
      <c r="MUU34" s="713"/>
      <c r="MUV34" s="713"/>
      <c r="MUW34" s="713"/>
      <c r="MUX34" s="713"/>
      <c r="MUY34" s="713"/>
      <c r="MUZ34" s="713"/>
      <c r="MVA34" s="713"/>
      <c r="MVB34" s="713"/>
      <c r="MVC34" s="713"/>
      <c r="MVD34" s="713"/>
      <c r="MVE34" s="713"/>
      <c r="MVF34" s="713"/>
      <c r="MVG34" s="713"/>
      <c r="MVH34" s="713"/>
      <c r="MVI34" s="713"/>
      <c r="MVJ34" s="713"/>
      <c r="MVK34" s="713"/>
      <c r="MVL34" s="713"/>
      <c r="MVM34" s="713"/>
      <c r="MVN34" s="713"/>
      <c r="MVO34" s="713"/>
      <c r="MVP34" s="713"/>
      <c r="MVQ34" s="713"/>
      <c r="MVR34" s="713"/>
      <c r="MVS34" s="713"/>
      <c r="MVT34" s="713"/>
      <c r="MVU34" s="713"/>
      <c r="MVV34" s="713"/>
      <c r="MVW34" s="713"/>
      <c r="MVX34" s="713"/>
      <c r="MVY34" s="713"/>
      <c r="MVZ34" s="713"/>
      <c r="MWA34" s="713"/>
      <c r="MWB34" s="713"/>
      <c r="MWC34" s="713"/>
      <c r="MWD34" s="713"/>
      <c r="MWE34" s="713"/>
      <c r="MWF34" s="713"/>
      <c r="MWG34" s="713"/>
      <c r="MWH34" s="713"/>
      <c r="MWI34" s="713"/>
      <c r="MWJ34" s="713"/>
      <c r="MWK34" s="713"/>
      <c r="MWL34" s="713"/>
      <c r="MWM34" s="713"/>
      <c r="MWN34" s="713"/>
      <c r="MWO34" s="713"/>
      <c r="MWP34" s="713"/>
      <c r="MWQ34" s="713"/>
      <c r="MWR34" s="713"/>
      <c r="MWS34" s="713"/>
      <c r="MWT34" s="713"/>
      <c r="MWU34" s="713"/>
      <c r="MWV34" s="713"/>
      <c r="MWW34" s="713"/>
      <c r="MWX34" s="713"/>
      <c r="MWY34" s="713"/>
      <c r="MWZ34" s="713"/>
      <c r="MXA34" s="713"/>
      <c r="MXB34" s="713"/>
      <c r="MXC34" s="713"/>
      <c r="MXD34" s="713"/>
      <c r="MXE34" s="713"/>
      <c r="MXF34" s="713"/>
      <c r="MXG34" s="713"/>
      <c r="MXH34" s="713"/>
      <c r="MXI34" s="713"/>
      <c r="MXJ34" s="713"/>
      <c r="MXK34" s="713"/>
      <c r="MXL34" s="713"/>
      <c r="MXM34" s="713"/>
      <c r="MXN34" s="713"/>
      <c r="MXO34" s="713"/>
      <c r="MXP34" s="713"/>
      <c r="MXQ34" s="713"/>
      <c r="MXR34" s="713"/>
      <c r="MXS34" s="713"/>
      <c r="MXT34" s="713"/>
      <c r="MXU34" s="713"/>
      <c r="MXV34" s="713"/>
      <c r="MXW34" s="713"/>
      <c r="MXX34" s="713"/>
      <c r="MXY34" s="713"/>
      <c r="MXZ34" s="713"/>
      <c r="MYA34" s="713"/>
      <c r="MYB34" s="713"/>
      <c r="MYC34" s="713"/>
      <c r="MYD34" s="713"/>
      <c r="MYE34" s="713"/>
      <c r="MYF34" s="713"/>
      <c r="MYG34" s="713"/>
      <c r="MYH34" s="713"/>
      <c r="MYI34" s="713"/>
      <c r="MYJ34" s="713"/>
      <c r="MYK34" s="713"/>
      <c r="MYL34" s="713"/>
      <c r="MYM34" s="713"/>
      <c r="MYN34" s="713"/>
      <c r="MYO34" s="713"/>
      <c r="MYP34" s="713"/>
      <c r="MYQ34" s="713"/>
      <c r="MYR34" s="713"/>
      <c r="MYS34" s="713"/>
      <c r="MYT34" s="713"/>
      <c r="MYU34" s="713"/>
      <c r="MYV34" s="713"/>
      <c r="MYW34" s="713"/>
      <c r="MYX34" s="713"/>
      <c r="MYY34" s="713"/>
      <c r="MYZ34" s="713"/>
      <c r="MZA34" s="713"/>
      <c r="MZB34" s="713"/>
      <c r="MZC34" s="713"/>
      <c r="MZD34" s="713"/>
      <c r="MZE34" s="713"/>
      <c r="MZF34" s="713"/>
      <c r="MZG34" s="713"/>
      <c r="MZH34" s="713"/>
      <c r="MZI34" s="713"/>
      <c r="MZJ34" s="713"/>
      <c r="MZK34" s="713"/>
      <c r="MZL34" s="713"/>
      <c r="MZM34" s="713"/>
      <c r="MZN34" s="713"/>
      <c r="MZO34" s="713"/>
      <c r="MZP34" s="713"/>
      <c r="MZQ34" s="713"/>
      <c r="MZR34" s="713"/>
      <c r="MZS34" s="713"/>
      <c r="MZT34" s="713"/>
      <c r="MZU34" s="713"/>
      <c r="MZV34" s="713"/>
      <c r="MZW34" s="713"/>
      <c r="MZX34" s="713"/>
      <c r="MZY34" s="713"/>
      <c r="MZZ34" s="713"/>
      <c r="NAA34" s="713"/>
      <c r="NAB34" s="713"/>
      <c r="NAC34" s="713"/>
      <c r="NAD34" s="713"/>
      <c r="NAE34" s="713"/>
      <c r="NAF34" s="713"/>
      <c r="NAG34" s="713"/>
      <c r="NAH34" s="713"/>
      <c r="NAI34" s="713"/>
      <c r="NAJ34" s="713"/>
      <c r="NAK34" s="713"/>
      <c r="NAL34" s="713"/>
      <c r="NAM34" s="713"/>
      <c r="NAN34" s="713"/>
      <c r="NAO34" s="713"/>
      <c r="NAP34" s="713"/>
      <c r="NAQ34" s="713"/>
      <c r="NAR34" s="713"/>
      <c r="NAS34" s="713"/>
      <c r="NAT34" s="713"/>
      <c r="NAU34" s="713"/>
      <c r="NAV34" s="713"/>
      <c r="NAW34" s="713"/>
      <c r="NAX34" s="713"/>
      <c r="NAY34" s="713"/>
      <c r="NAZ34" s="713"/>
      <c r="NBA34" s="713"/>
      <c r="NBB34" s="713"/>
      <c r="NBC34" s="713"/>
      <c r="NBD34" s="713"/>
      <c r="NBE34" s="713"/>
      <c r="NBF34" s="713"/>
      <c r="NBG34" s="713"/>
      <c r="NBH34" s="713"/>
      <c r="NBI34" s="713"/>
      <c r="NBJ34" s="713"/>
      <c r="NBK34" s="713"/>
      <c r="NBL34" s="713"/>
      <c r="NBM34" s="713"/>
      <c r="NBN34" s="713"/>
      <c r="NBO34" s="713"/>
      <c r="NBP34" s="713"/>
      <c r="NBQ34" s="713"/>
      <c r="NBR34" s="713"/>
      <c r="NBS34" s="713"/>
      <c r="NBT34" s="713"/>
      <c r="NBU34" s="713"/>
      <c r="NBV34" s="713"/>
      <c r="NBW34" s="713"/>
      <c r="NBX34" s="713"/>
      <c r="NBY34" s="713"/>
      <c r="NBZ34" s="713"/>
      <c r="NCA34" s="713"/>
      <c r="NCB34" s="713"/>
      <c r="NCC34" s="713"/>
      <c r="NCD34" s="713"/>
      <c r="NCE34" s="713"/>
      <c r="NCF34" s="713"/>
      <c r="NCG34" s="713"/>
      <c r="NCH34" s="713"/>
      <c r="NCI34" s="713"/>
      <c r="NCJ34" s="713"/>
      <c r="NCK34" s="713"/>
      <c r="NCL34" s="713"/>
      <c r="NCM34" s="713"/>
      <c r="NCN34" s="713"/>
      <c r="NCO34" s="713"/>
      <c r="NCP34" s="713"/>
      <c r="NCQ34" s="713"/>
      <c r="NCR34" s="713"/>
      <c r="NCS34" s="713"/>
      <c r="NCT34" s="713"/>
      <c r="NCU34" s="713"/>
      <c r="NCV34" s="713"/>
      <c r="NCW34" s="713"/>
      <c r="NCX34" s="713"/>
      <c r="NCY34" s="713"/>
      <c r="NCZ34" s="713"/>
      <c r="NDA34" s="713"/>
      <c r="NDB34" s="713"/>
      <c r="NDC34" s="713"/>
      <c r="NDD34" s="713"/>
      <c r="NDE34" s="713"/>
      <c r="NDF34" s="713"/>
      <c r="NDG34" s="713"/>
      <c r="NDH34" s="713"/>
      <c r="NDI34" s="713"/>
      <c r="NDJ34" s="713"/>
      <c r="NDK34" s="713"/>
      <c r="NDL34" s="713"/>
      <c r="NDM34" s="713"/>
      <c r="NDN34" s="713"/>
      <c r="NDO34" s="713"/>
      <c r="NDP34" s="713"/>
      <c r="NDQ34" s="713"/>
      <c r="NDR34" s="713"/>
      <c r="NDS34" s="713"/>
      <c r="NDT34" s="713"/>
      <c r="NDU34" s="713"/>
      <c r="NDV34" s="713"/>
      <c r="NDW34" s="713"/>
      <c r="NDX34" s="713"/>
      <c r="NDY34" s="713"/>
      <c r="NDZ34" s="713"/>
      <c r="NEA34" s="713"/>
      <c r="NEB34" s="713"/>
      <c r="NEC34" s="713"/>
      <c r="NED34" s="713"/>
      <c r="NEE34" s="713"/>
      <c r="NEF34" s="713"/>
      <c r="NEG34" s="713"/>
      <c r="NEH34" s="713"/>
      <c r="NEI34" s="713"/>
      <c r="NEJ34" s="713"/>
      <c r="NEK34" s="713"/>
      <c r="NEL34" s="713"/>
      <c r="NEM34" s="713"/>
      <c r="NEN34" s="713"/>
      <c r="NEO34" s="713"/>
      <c r="NEP34" s="713"/>
      <c r="NEQ34" s="713"/>
      <c r="NER34" s="713"/>
      <c r="NES34" s="713"/>
      <c r="NET34" s="713"/>
      <c r="NEU34" s="713"/>
      <c r="NEV34" s="713"/>
      <c r="NEW34" s="713"/>
      <c r="NEX34" s="713"/>
      <c r="NEY34" s="713"/>
      <c r="NEZ34" s="713"/>
      <c r="NFA34" s="713"/>
      <c r="NFB34" s="713"/>
      <c r="NFC34" s="713"/>
      <c r="NFD34" s="713"/>
      <c r="NFE34" s="713"/>
      <c r="NFF34" s="713"/>
      <c r="NFG34" s="713"/>
      <c r="NFH34" s="713"/>
      <c r="NFI34" s="713"/>
      <c r="NFJ34" s="713"/>
      <c r="NFK34" s="713"/>
      <c r="NFL34" s="713"/>
      <c r="NFM34" s="713"/>
      <c r="NFN34" s="713"/>
      <c r="NFO34" s="713"/>
      <c r="NFP34" s="713"/>
      <c r="NFQ34" s="713"/>
      <c r="NFR34" s="713"/>
      <c r="NFS34" s="713"/>
      <c r="NFT34" s="713"/>
      <c r="NFU34" s="713"/>
      <c r="NFV34" s="713"/>
      <c r="NFW34" s="713"/>
      <c r="NFX34" s="713"/>
      <c r="NFY34" s="713"/>
      <c r="NFZ34" s="713"/>
      <c r="NGA34" s="713"/>
      <c r="NGB34" s="713"/>
      <c r="NGC34" s="713"/>
      <c r="NGD34" s="713"/>
      <c r="NGE34" s="713"/>
      <c r="NGF34" s="713"/>
      <c r="NGG34" s="713"/>
      <c r="NGH34" s="713"/>
      <c r="NGI34" s="713"/>
      <c r="NGJ34" s="713"/>
      <c r="NGK34" s="713"/>
      <c r="NGL34" s="713"/>
      <c r="NGM34" s="713"/>
      <c r="NGN34" s="713"/>
      <c r="NGO34" s="713"/>
      <c r="NGP34" s="713"/>
      <c r="NGQ34" s="713"/>
      <c r="NGR34" s="713"/>
      <c r="NGS34" s="713"/>
      <c r="NGT34" s="713"/>
      <c r="NGU34" s="713"/>
      <c r="NGV34" s="713"/>
      <c r="NGW34" s="713"/>
      <c r="NGX34" s="713"/>
      <c r="NGY34" s="713"/>
      <c r="NGZ34" s="713"/>
      <c r="NHA34" s="713"/>
      <c r="NHB34" s="713"/>
      <c r="NHC34" s="713"/>
      <c r="NHD34" s="713"/>
      <c r="NHE34" s="713"/>
      <c r="NHF34" s="713"/>
      <c r="NHG34" s="713"/>
      <c r="NHH34" s="713"/>
      <c r="NHI34" s="713"/>
      <c r="NHJ34" s="713"/>
      <c r="NHK34" s="713"/>
      <c r="NHL34" s="713"/>
      <c r="NHM34" s="713"/>
      <c r="NHN34" s="713"/>
      <c r="NHO34" s="713"/>
      <c r="NHP34" s="713"/>
      <c r="NHQ34" s="713"/>
      <c r="NHR34" s="713"/>
      <c r="NHS34" s="713"/>
      <c r="NHT34" s="713"/>
      <c r="NHU34" s="713"/>
      <c r="NHV34" s="713"/>
      <c r="NHW34" s="713"/>
      <c r="NHX34" s="713"/>
      <c r="NHY34" s="713"/>
      <c r="NHZ34" s="713"/>
      <c r="NIA34" s="713"/>
      <c r="NIB34" s="713"/>
      <c r="NIC34" s="713"/>
      <c r="NID34" s="713"/>
      <c r="NIE34" s="713"/>
      <c r="NIF34" s="713"/>
      <c r="NIG34" s="713"/>
      <c r="NIH34" s="713"/>
      <c r="NII34" s="713"/>
      <c r="NIJ34" s="713"/>
      <c r="NIK34" s="713"/>
      <c r="NIL34" s="713"/>
      <c r="NIM34" s="713"/>
      <c r="NIN34" s="713"/>
      <c r="NIO34" s="713"/>
      <c r="NIP34" s="713"/>
      <c r="NIQ34" s="713"/>
      <c r="NIR34" s="713"/>
      <c r="NIS34" s="713"/>
      <c r="NIT34" s="713"/>
      <c r="NIU34" s="713"/>
      <c r="NIV34" s="713"/>
      <c r="NIW34" s="713"/>
      <c r="NIX34" s="713"/>
      <c r="NIY34" s="713"/>
      <c r="NIZ34" s="713"/>
      <c r="NJA34" s="713"/>
      <c r="NJB34" s="713"/>
      <c r="NJC34" s="713"/>
      <c r="NJD34" s="713"/>
      <c r="NJE34" s="713"/>
      <c r="NJF34" s="713"/>
      <c r="NJG34" s="713"/>
      <c r="NJH34" s="713"/>
      <c r="NJI34" s="713"/>
      <c r="NJJ34" s="713"/>
      <c r="NJK34" s="713"/>
      <c r="NJL34" s="713"/>
      <c r="NJM34" s="713"/>
      <c r="NJN34" s="713"/>
      <c r="NJO34" s="713"/>
      <c r="NJP34" s="713"/>
      <c r="NJQ34" s="713"/>
      <c r="NJR34" s="713"/>
      <c r="NJS34" s="713"/>
      <c r="NJT34" s="713"/>
      <c r="NJU34" s="713"/>
      <c r="NJV34" s="713"/>
      <c r="NJW34" s="713"/>
      <c r="NJX34" s="713"/>
      <c r="NJY34" s="713"/>
      <c r="NJZ34" s="713"/>
      <c r="NKA34" s="713"/>
      <c r="NKB34" s="713"/>
      <c r="NKC34" s="713"/>
      <c r="NKD34" s="713"/>
      <c r="NKE34" s="713"/>
      <c r="NKF34" s="713"/>
      <c r="NKG34" s="713"/>
      <c r="NKH34" s="713"/>
      <c r="NKI34" s="713"/>
      <c r="NKJ34" s="713"/>
      <c r="NKK34" s="713"/>
      <c r="NKL34" s="713"/>
      <c r="NKM34" s="713"/>
      <c r="NKN34" s="713"/>
      <c r="NKO34" s="713"/>
      <c r="NKP34" s="713"/>
      <c r="NKQ34" s="713"/>
      <c r="NKR34" s="713"/>
      <c r="NKS34" s="713"/>
      <c r="NKT34" s="713"/>
      <c r="NKU34" s="713"/>
      <c r="NKV34" s="713"/>
      <c r="NKW34" s="713"/>
      <c r="NKX34" s="713"/>
      <c r="NKY34" s="713"/>
      <c r="NKZ34" s="713"/>
      <c r="NLA34" s="713"/>
      <c r="NLB34" s="713"/>
      <c r="NLC34" s="713"/>
      <c r="NLD34" s="713"/>
      <c r="NLE34" s="713"/>
      <c r="NLF34" s="713"/>
      <c r="NLG34" s="713"/>
      <c r="NLH34" s="713"/>
      <c r="NLI34" s="713"/>
      <c r="NLJ34" s="713"/>
      <c r="NLK34" s="713"/>
      <c r="NLL34" s="713"/>
      <c r="NLM34" s="713"/>
      <c r="NLN34" s="713"/>
      <c r="NLO34" s="713"/>
      <c r="NLP34" s="713"/>
      <c r="NLQ34" s="713"/>
      <c r="NLR34" s="713"/>
      <c r="NLS34" s="713"/>
      <c r="NLT34" s="713"/>
      <c r="NLU34" s="713"/>
      <c r="NLV34" s="713"/>
      <c r="NLW34" s="713"/>
      <c r="NLX34" s="713"/>
      <c r="NLY34" s="713"/>
      <c r="NLZ34" s="713"/>
      <c r="NMA34" s="713"/>
      <c r="NMB34" s="713"/>
      <c r="NMC34" s="713"/>
      <c r="NMD34" s="713"/>
      <c r="NME34" s="713"/>
      <c r="NMF34" s="713"/>
      <c r="NMG34" s="713"/>
      <c r="NMH34" s="713"/>
      <c r="NMI34" s="713"/>
      <c r="NMJ34" s="713"/>
      <c r="NMK34" s="713"/>
      <c r="NML34" s="713"/>
      <c r="NMM34" s="713"/>
      <c r="NMN34" s="713"/>
      <c r="NMO34" s="713"/>
      <c r="NMP34" s="713"/>
      <c r="NMQ34" s="713"/>
      <c r="NMR34" s="713"/>
      <c r="NMS34" s="713"/>
      <c r="NMT34" s="713"/>
      <c r="NMU34" s="713"/>
      <c r="NMV34" s="713"/>
      <c r="NMW34" s="713"/>
      <c r="NMX34" s="713"/>
      <c r="NMY34" s="713"/>
      <c r="NMZ34" s="713"/>
      <c r="NNA34" s="713"/>
      <c r="NNB34" s="713"/>
      <c r="NNC34" s="713"/>
      <c r="NND34" s="713"/>
      <c r="NNE34" s="713"/>
      <c r="NNF34" s="713"/>
      <c r="NNG34" s="713"/>
      <c r="NNH34" s="713"/>
      <c r="NNI34" s="713"/>
      <c r="NNJ34" s="713"/>
      <c r="NNK34" s="713"/>
      <c r="NNL34" s="713"/>
      <c r="NNM34" s="713"/>
      <c r="NNN34" s="713"/>
      <c r="NNO34" s="713"/>
      <c r="NNP34" s="713"/>
      <c r="NNQ34" s="713"/>
      <c r="NNR34" s="713"/>
      <c r="NNS34" s="713"/>
      <c r="NNT34" s="713"/>
      <c r="NNU34" s="713"/>
      <c r="NNV34" s="713"/>
      <c r="NNW34" s="713"/>
      <c r="NNX34" s="713"/>
      <c r="NNY34" s="713"/>
      <c r="NNZ34" s="713"/>
      <c r="NOA34" s="713"/>
      <c r="NOB34" s="713"/>
      <c r="NOC34" s="713"/>
      <c r="NOD34" s="713"/>
      <c r="NOE34" s="713"/>
      <c r="NOF34" s="713"/>
      <c r="NOG34" s="713"/>
      <c r="NOH34" s="713"/>
      <c r="NOI34" s="713"/>
      <c r="NOJ34" s="713"/>
      <c r="NOK34" s="713"/>
      <c r="NOL34" s="713"/>
      <c r="NOM34" s="713"/>
      <c r="NON34" s="713"/>
      <c r="NOO34" s="713"/>
      <c r="NOP34" s="713"/>
      <c r="NOQ34" s="713"/>
      <c r="NOR34" s="713"/>
      <c r="NOS34" s="713"/>
      <c r="NOT34" s="713"/>
      <c r="NOU34" s="713"/>
      <c r="NOV34" s="713"/>
      <c r="NOW34" s="713"/>
      <c r="NOX34" s="713"/>
      <c r="NOY34" s="713"/>
      <c r="NOZ34" s="713"/>
      <c r="NPA34" s="713"/>
      <c r="NPB34" s="713"/>
      <c r="NPC34" s="713"/>
      <c r="NPD34" s="713"/>
      <c r="NPE34" s="713"/>
      <c r="NPF34" s="713"/>
      <c r="NPG34" s="713"/>
      <c r="NPH34" s="713"/>
      <c r="NPI34" s="713"/>
      <c r="NPJ34" s="713"/>
      <c r="NPK34" s="713"/>
      <c r="NPL34" s="713"/>
      <c r="NPM34" s="713"/>
      <c r="NPN34" s="713"/>
      <c r="NPO34" s="713"/>
      <c r="NPP34" s="713"/>
      <c r="NPQ34" s="713"/>
      <c r="NPR34" s="713"/>
      <c r="NPS34" s="713"/>
      <c r="NPT34" s="713"/>
      <c r="NPU34" s="713"/>
      <c r="NPV34" s="713"/>
      <c r="NPW34" s="713"/>
      <c r="NPX34" s="713"/>
      <c r="NPY34" s="713"/>
      <c r="NPZ34" s="713"/>
      <c r="NQA34" s="713"/>
      <c r="NQB34" s="713"/>
      <c r="NQC34" s="713"/>
      <c r="NQD34" s="713"/>
      <c r="NQE34" s="713"/>
      <c r="NQF34" s="713"/>
      <c r="NQG34" s="713"/>
      <c r="NQH34" s="713"/>
      <c r="NQI34" s="713"/>
      <c r="NQJ34" s="713"/>
      <c r="NQK34" s="713"/>
      <c r="NQL34" s="713"/>
      <c r="NQM34" s="713"/>
      <c r="NQN34" s="713"/>
      <c r="NQO34" s="713"/>
      <c r="NQP34" s="713"/>
      <c r="NQQ34" s="713"/>
      <c r="NQR34" s="713"/>
      <c r="NQS34" s="713"/>
      <c r="NQT34" s="713"/>
      <c r="NQU34" s="713"/>
      <c r="NQV34" s="713"/>
      <c r="NQW34" s="713"/>
      <c r="NQX34" s="713"/>
      <c r="NQY34" s="713"/>
      <c r="NQZ34" s="713"/>
      <c r="NRA34" s="713"/>
      <c r="NRB34" s="713"/>
      <c r="NRC34" s="713"/>
      <c r="NRD34" s="713"/>
      <c r="NRE34" s="713"/>
      <c r="NRF34" s="713"/>
      <c r="NRG34" s="713"/>
      <c r="NRH34" s="713"/>
      <c r="NRI34" s="713"/>
      <c r="NRJ34" s="713"/>
      <c r="NRK34" s="713"/>
      <c r="NRL34" s="713"/>
      <c r="NRM34" s="713"/>
      <c r="NRN34" s="713"/>
      <c r="NRO34" s="713"/>
      <c r="NRP34" s="713"/>
      <c r="NRQ34" s="713"/>
      <c r="NRR34" s="713"/>
      <c r="NRS34" s="713"/>
      <c r="NRT34" s="713"/>
      <c r="NRU34" s="713"/>
      <c r="NRV34" s="713"/>
      <c r="NRW34" s="713"/>
      <c r="NRX34" s="713"/>
      <c r="NRY34" s="713"/>
      <c r="NRZ34" s="713"/>
      <c r="NSA34" s="713"/>
      <c r="NSB34" s="713"/>
      <c r="NSC34" s="713"/>
      <c r="NSD34" s="713"/>
      <c r="NSE34" s="713"/>
      <c r="NSF34" s="713"/>
      <c r="NSG34" s="713"/>
      <c r="NSH34" s="713"/>
      <c r="NSI34" s="713"/>
      <c r="NSJ34" s="713"/>
      <c r="NSK34" s="713"/>
      <c r="NSL34" s="713"/>
      <c r="NSM34" s="713"/>
      <c r="NSN34" s="713"/>
      <c r="NSO34" s="713"/>
      <c r="NSP34" s="713"/>
      <c r="NSQ34" s="713"/>
      <c r="NSR34" s="713"/>
      <c r="NSS34" s="713"/>
      <c r="NST34" s="713"/>
      <c r="NSU34" s="713"/>
      <c r="NSV34" s="713"/>
      <c r="NSW34" s="713"/>
      <c r="NSX34" s="713"/>
      <c r="NSY34" s="713"/>
      <c r="NSZ34" s="713"/>
      <c r="NTA34" s="713"/>
      <c r="NTB34" s="713"/>
      <c r="NTC34" s="713"/>
      <c r="NTD34" s="713"/>
      <c r="NTE34" s="713"/>
      <c r="NTF34" s="713"/>
      <c r="NTG34" s="713"/>
      <c r="NTH34" s="713"/>
      <c r="NTI34" s="713"/>
      <c r="NTJ34" s="713"/>
      <c r="NTK34" s="713"/>
      <c r="NTL34" s="713"/>
      <c r="NTM34" s="713"/>
      <c r="NTN34" s="713"/>
      <c r="NTO34" s="713"/>
      <c r="NTP34" s="713"/>
      <c r="NTQ34" s="713"/>
      <c r="NTR34" s="713"/>
      <c r="NTS34" s="713"/>
      <c r="NTT34" s="713"/>
      <c r="NTU34" s="713"/>
      <c r="NTV34" s="713"/>
      <c r="NTW34" s="713"/>
      <c r="NTX34" s="713"/>
      <c r="NTY34" s="713"/>
      <c r="NTZ34" s="713"/>
      <c r="NUA34" s="713"/>
      <c r="NUB34" s="713"/>
      <c r="NUC34" s="713"/>
      <c r="NUD34" s="713"/>
      <c r="NUE34" s="713"/>
      <c r="NUF34" s="713"/>
      <c r="NUG34" s="713"/>
      <c r="NUH34" s="713"/>
      <c r="NUI34" s="713"/>
      <c r="NUJ34" s="713"/>
      <c r="NUK34" s="713"/>
      <c r="NUL34" s="713"/>
      <c r="NUM34" s="713"/>
      <c r="NUN34" s="713"/>
      <c r="NUO34" s="713"/>
      <c r="NUP34" s="713"/>
      <c r="NUQ34" s="713"/>
      <c r="NUR34" s="713"/>
      <c r="NUS34" s="713"/>
      <c r="NUT34" s="713"/>
      <c r="NUU34" s="713"/>
      <c r="NUV34" s="713"/>
      <c r="NUW34" s="713"/>
      <c r="NUX34" s="713"/>
      <c r="NUY34" s="713"/>
      <c r="NUZ34" s="713"/>
      <c r="NVA34" s="713"/>
      <c r="NVB34" s="713"/>
      <c r="NVC34" s="713"/>
      <c r="NVD34" s="713"/>
      <c r="NVE34" s="713"/>
      <c r="NVF34" s="713"/>
      <c r="NVG34" s="713"/>
      <c r="NVH34" s="713"/>
      <c r="NVI34" s="713"/>
      <c r="NVJ34" s="713"/>
      <c r="NVK34" s="713"/>
      <c r="NVL34" s="713"/>
      <c r="NVM34" s="713"/>
      <c r="NVN34" s="713"/>
      <c r="NVO34" s="713"/>
      <c r="NVP34" s="713"/>
      <c r="NVQ34" s="713"/>
      <c r="NVR34" s="713"/>
      <c r="NVS34" s="713"/>
      <c r="NVT34" s="713"/>
      <c r="NVU34" s="713"/>
      <c r="NVV34" s="713"/>
      <c r="NVW34" s="713"/>
      <c r="NVX34" s="713"/>
      <c r="NVY34" s="713"/>
      <c r="NVZ34" s="713"/>
      <c r="NWA34" s="713"/>
      <c r="NWB34" s="713"/>
      <c r="NWC34" s="713"/>
      <c r="NWD34" s="713"/>
      <c r="NWE34" s="713"/>
      <c r="NWF34" s="713"/>
      <c r="NWG34" s="713"/>
      <c r="NWH34" s="713"/>
      <c r="NWI34" s="713"/>
      <c r="NWJ34" s="713"/>
      <c r="NWK34" s="713"/>
      <c r="NWL34" s="713"/>
      <c r="NWM34" s="713"/>
      <c r="NWN34" s="713"/>
      <c r="NWO34" s="713"/>
      <c r="NWP34" s="713"/>
      <c r="NWQ34" s="713"/>
      <c r="NWR34" s="713"/>
      <c r="NWS34" s="713"/>
      <c r="NWT34" s="713"/>
      <c r="NWU34" s="713"/>
      <c r="NWV34" s="713"/>
      <c r="NWW34" s="713"/>
      <c r="NWX34" s="713"/>
      <c r="NWY34" s="713"/>
      <c r="NWZ34" s="713"/>
      <c r="NXA34" s="713"/>
      <c r="NXB34" s="713"/>
      <c r="NXC34" s="713"/>
      <c r="NXD34" s="713"/>
      <c r="NXE34" s="713"/>
      <c r="NXF34" s="713"/>
      <c r="NXG34" s="713"/>
      <c r="NXH34" s="713"/>
      <c r="NXI34" s="713"/>
      <c r="NXJ34" s="713"/>
      <c r="NXK34" s="713"/>
      <c r="NXL34" s="713"/>
      <c r="NXM34" s="713"/>
      <c r="NXN34" s="713"/>
      <c r="NXO34" s="713"/>
      <c r="NXP34" s="713"/>
      <c r="NXQ34" s="713"/>
      <c r="NXR34" s="713"/>
      <c r="NXS34" s="713"/>
      <c r="NXT34" s="713"/>
      <c r="NXU34" s="713"/>
      <c r="NXV34" s="713"/>
      <c r="NXW34" s="713"/>
      <c r="NXX34" s="713"/>
      <c r="NXY34" s="713"/>
      <c r="NXZ34" s="713"/>
      <c r="NYA34" s="713"/>
      <c r="NYB34" s="713"/>
      <c r="NYC34" s="713"/>
      <c r="NYD34" s="713"/>
      <c r="NYE34" s="713"/>
      <c r="NYF34" s="713"/>
      <c r="NYG34" s="713"/>
      <c r="NYH34" s="713"/>
      <c r="NYI34" s="713"/>
      <c r="NYJ34" s="713"/>
      <c r="NYK34" s="713"/>
      <c r="NYL34" s="713"/>
      <c r="NYM34" s="713"/>
      <c r="NYN34" s="713"/>
      <c r="NYO34" s="713"/>
      <c r="NYP34" s="713"/>
      <c r="NYQ34" s="713"/>
      <c r="NYR34" s="713"/>
      <c r="NYS34" s="713"/>
      <c r="NYT34" s="713"/>
      <c r="NYU34" s="713"/>
      <c r="NYV34" s="713"/>
      <c r="NYW34" s="713"/>
      <c r="NYX34" s="713"/>
      <c r="NYY34" s="713"/>
      <c r="NYZ34" s="713"/>
      <c r="NZA34" s="713"/>
      <c r="NZB34" s="713"/>
      <c r="NZC34" s="713"/>
      <c r="NZD34" s="713"/>
      <c r="NZE34" s="713"/>
      <c r="NZF34" s="713"/>
      <c r="NZG34" s="713"/>
      <c r="NZH34" s="713"/>
      <c r="NZI34" s="713"/>
      <c r="NZJ34" s="713"/>
      <c r="NZK34" s="713"/>
      <c r="NZL34" s="713"/>
      <c r="NZM34" s="713"/>
      <c r="NZN34" s="713"/>
      <c r="NZO34" s="713"/>
      <c r="NZP34" s="713"/>
      <c r="NZQ34" s="713"/>
      <c r="NZR34" s="713"/>
      <c r="NZS34" s="713"/>
      <c r="NZT34" s="713"/>
      <c r="NZU34" s="713"/>
      <c r="NZV34" s="713"/>
      <c r="NZW34" s="713"/>
      <c r="NZX34" s="713"/>
      <c r="NZY34" s="713"/>
      <c r="NZZ34" s="713"/>
      <c r="OAA34" s="713"/>
      <c r="OAB34" s="713"/>
      <c r="OAC34" s="713"/>
      <c r="OAD34" s="713"/>
      <c r="OAE34" s="713"/>
      <c r="OAF34" s="713"/>
      <c r="OAG34" s="713"/>
      <c r="OAH34" s="713"/>
      <c r="OAI34" s="713"/>
      <c r="OAJ34" s="713"/>
      <c r="OAK34" s="713"/>
      <c r="OAL34" s="713"/>
      <c r="OAM34" s="713"/>
      <c r="OAN34" s="713"/>
      <c r="OAO34" s="713"/>
      <c r="OAP34" s="713"/>
      <c r="OAQ34" s="713"/>
      <c r="OAR34" s="713"/>
      <c r="OAS34" s="713"/>
      <c r="OAT34" s="713"/>
      <c r="OAU34" s="713"/>
      <c r="OAV34" s="713"/>
      <c r="OAW34" s="713"/>
      <c r="OAX34" s="713"/>
      <c r="OAY34" s="713"/>
      <c r="OAZ34" s="713"/>
      <c r="OBA34" s="713"/>
      <c r="OBB34" s="713"/>
      <c r="OBC34" s="713"/>
      <c r="OBD34" s="713"/>
      <c r="OBE34" s="713"/>
      <c r="OBF34" s="713"/>
      <c r="OBG34" s="713"/>
      <c r="OBH34" s="713"/>
      <c r="OBI34" s="713"/>
      <c r="OBJ34" s="713"/>
      <c r="OBK34" s="713"/>
      <c r="OBL34" s="713"/>
      <c r="OBM34" s="713"/>
      <c r="OBN34" s="713"/>
      <c r="OBO34" s="713"/>
      <c r="OBP34" s="713"/>
      <c r="OBQ34" s="713"/>
      <c r="OBR34" s="713"/>
      <c r="OBS34" s="713"/>
      <c r="OBT34" s="713"/>
      <c r="OBU34" s="713"/>
      <c r="OBV34" s="713"/>
      <c r="OBW34" s="713"/>
      <c r="OBX34" s="713"/>
      <c r="OBY34" s="713"/>
      <c r="OBZ34" s="713"/>
      <c r="OCA34" s="713"/>
      <c r="OCB34" s="713"/>
      <c r="OCC34" s="713"/>
      <c r="OCD34" s="713"/>
      <c r="OCE34" s="713"/>
      <c r="OCF34" s="713"/>
      <c r="OCG34" s="713"/>
      <c r="OCH34" s="713"/>
      <c r="OCI34" s="713"/>
      <c r="OCJ34" s="713"/>
      <c r="OCK34" s="713"/>
      <c r="OCL34" s="713"/>
      <c r="OCM34" s="713"/>
      <c r="OCN34" s="713"/>
      <c r="OCO34" s="713"/>
      <c r="OCP34" s="713"/>
      <c r="OCQ34" s="713"/>
      <c r="OCR34" s="713"/>
      <c r="OCS34" s="713"/>
      <c r="OCT34" s="713"/>
      <c r="OCU34" s="713"/>
      <c r="OCV34" s="713"/>
      <c r="OCW34" s="713"/>
      <c r="OCX34" s="713"/>
      <c r="OCY34" s="713"/>
      <c r="OCZ34" s="713"/>
      <c r="ODA34" s="713"/>
      <c r="ODB34" s="713"/>
      <c r="ODC34" s="713"/>
      <c r="ODD34" s="713"/>
      <c r="ODE34" s="713"/>
      <c r="ODF34" s="713"/>
      <c r="ODG34" s="713"/>
      <c r="ODH34" s="713"/>
      <c r="ODI34" s="713"/>
      <c r="ODJ34" s="713"/>
      <c r="ODK34" s="713"/>
      <c r="ODL34" s="713"/>
      <c r="ODM34" s="713"/>
      <c r="ODN34" s="713"/>
      <c r="ODO34" s="713"/>
      <c r="ODP34" s="713"/>
      <c r="ODQ34" s="713"/>
      <c r="ODR34" s="713"/>
      <c r="ODS34" s="713"/>
      <c r="ODT34" s="713"/>
      <c r="ODU34" s="713"/>
      <c r="ODV34" s="713"/>
      <c r="ODW34" s="713"/>
      <c r="ODX34" s="713"/>
      <c r="ODY34" s="713"/>
      <c r="ODZ34" s="713"/>
      <c r="OEA34" s="713"/>
      <c r="OEB34" s="713"/>
      <c r="OEC34" s="713"/>
      <c r="OED34" s="713"/>
      <c r="OEE34" s="713"/>
      <c r="OEF34" s="713"/>
      <c r="OEG34" s="713"/>
      <c r="OEH34" s="713"/>
      <c r="OEI34" s="713"/>
      <c r="OEJ34" s="713"/>
      <c r="OEK34" s="713"/>
      <c r="OEL34" s="713"/>
      <c r="OEM34" s="713"/>
      <c r="OEN34" s="713"/>
      <c r="OEO34" s="713"/>
      <c r="OEP34" s="713"/>
      <c r="OEQ34" s="713"/>
      <c r="OER34" s="713"/>
      <c r="OES34" s="713"/>
      <c r="OET34" s="713"/>
      <c r="OEU34" s="713"/>
      <c r="OEV34" s="713"/>
      <c r="OEW34" s="713"/>
      <c r="OEX34" s="713"/>
      <c r="OEY34" s="713"/>
      <c r="OEZ34" s="713"/>
      <c r="OFA34" s="713"/>
      <c r="OFB34" s="713"/>
      <c r="OFC34" s="713"/>
      <c r="OFD34" s="713"/>
      <c r="OFE34" s="713"/>
      <c r="OFF34" s="713"/>
      <c r="OFG34" s="713"/>
      <c r="OFH34" s="713"/>
      <c r="OFI34" s="713"/>
      <c r="OFJ34" s="713"/>
      <c r="OFK34" s="713"/>
      <c r="OFL34" s="713"/>
      <c r="OFM34" s="713"/>
      <c r="OFN34" s="713"/>
      <c r="OFO34" s="713"/>
      <c r="OFP34" s="713"/>
      <c r="OFQ34" s="713"/>
      <c r="OFR34" s="713"/>
      <c r="OFS34" s="713"/>
      <c r="OFT34" s="713"/>
      <c r="OFU34" s="713"/>
      <c r="OFV34" s="713"/>
      <c r="OFW34" s="713"/>
      <c r="OFX34" s="713"/>
      <c r="OFY34" s="713"/>
      <c r="OFZ34" s="713"/>
      <c r="OGA34" s="713"/>
      <c r="OGB34" s="713"/>
      <c r="OGC34" s="713"/>
      <c r="OGD34" s="713"/>
      <c r="OGE34" s="713"/>
      <c r="OGF34" s="713"/>
      <c r="OGG34" s="713"/>
      <c r="OGH34" s="713"/>
      <c r="OGI34" s="713"/>
      <c r="OGJ34" s="713"/>
      <c r="OGK34" s="713"/>
      <c r="OGL34" s="713"/>
      <c r="OGM34" s="713"/>
      <c r="OGN34" s="713"/>
      <c r="OGO34" s="713"/>
      <c r="OGP34" s="713"/>
      <c r="OGQ34" s="713"/>
      <c r="OGR34" s="713"/>
      <c r="OGS34" s="713"/>
      <c r="OGT34" s="713"/>
      <c r="OGU34" s="713"/>
      <c r="OGV34" s="713"/>
      <c r="OGW34" s="713"/>
      <c r="OGX34" s="713"/>
      <c r="OGY34" s="713"/>
      <c r="OGZ34" s="713"/>
      <c r="OHA34" s="713"/>
      <c r="OHB34" s="713"/>
      <c r="OHC34" s="713"/>
      <c r="OHD34" s="713"/>
      <c r="OHE34" s="713"/>
      <c r="OHF34" s="713"/>
      <c r="OHG34" s="713"/>
      <c r="OHH34" s="713"/>
      <c r="OHI34" s="713"/>
      <c r="OHJ34" s="713"/>
      <c r="OHK34" s="713"/>
      <c r="OHL34" s="713"/>
      <c r="OHM34" s="713"/>
      <c r="OHN34" s="713"/>
      <c r="OHO34" s="713"/>
      <c r="OHP34" s="713"/>
      <c r="OHQ34" s="713"/>
      <c r="OHR34" s="713"/>
      <c r="OHS34" s="713"/>
      <c r="OHT34" s="713"/>
      <c r="OHU34" s="713"/>
      <c r="OHV34" s="713"/>
      <c r="OHW34" s="713"/>
      <c r="OHX34" s="713"/>
      <c r="OHY34" s="713"/>
      <c r="OHZ34" s="713"/>
      <c r="OIA34" s="713"/>
      <c r="OIB34" s="713"/>
      <c r="OIC34" s="713"/>
      <c r="OID34" s="713"/>
      <c r="OIE34" s="713"/>
      <c r="OIF34" s="713"/>
      <c r="OIG34" s="713"/>
      <c r="OIH34" s="713"/>
      <c r="OII34" s="713"/>
      <c r="OIJ34" s="713"/>
      <c r="OIK34" s="713"/>
      <c r="OIL34" s="713"/>
      <c r="OIM34" s="713"/>
      <c r="OIN34" s="713"/>
      <c r="OIO34" s="713"/>
      <c r="OIP34" s="713"/>
      <c r="OIQ34" s="713"/>
      <c r="OIR34" s="713"/>
      <c r="OIS34" s="713"/>
      <c r="OIT34" s="713"/>
      <c r="OIU34" s="713"/>
      <c r="OIV34" s="713"/>
      <c r="OIW34" s="713"/>
      <c r="OIX34" s="713"/>
      <c r="OIY34" s="713"/>
      <c r="OIZ34" s="713"/>
      <c r="OJA34" s="713"/>
      <c r="OJB34" s="713"/>
      <c r="OJC34" s="713"/>
      <c r="OJD34" s="713"/>
      <c r="OJE34" s="713"/>
      <c r="OJF34" s="713"/>
      <c r="OJG34" s="713"/>
      <c r="OJH34" s="713"/>
      <c r="OJI34" s="713"/>
      <c r="OJJ34" s="713"/>
      <c r="OJK34" s="713"/>
      <c r="OJL34" s="713"/>
      <c r="OJM34" s="713"/>
      <c r="OJN34" s="713"/>
      <c r="OJO34" s="713"/>
      <c r="OJP34" s="713"/>
      <c r="OJQ34" s="713"/>
      <c r="OJR34" s="713"/>
      <c r="OJS34" s="713"/>
      <c r="OJT34" s="713"/>
      <c r="OJU34" s="713"/>
      <c r="OJV34" s="713"/>
      <c r="OJW34" s="713"/>
      <c r="OJX34" s="713"/>
      <c r="OJY34" s="713"/>
      <c r="OJZ34" s="713"/>
      <c r="OKA34" s="713"/>
      <c r="OKB34" s="713"/>
      <c r="OKC34" s="713"/>
      <c r="OKD34" s="713"/>
      <c r="OKE34" s="713"/>
      <c r="OKF34" s="713"/>
      <c r="OKG34" s="713"/>
      <c r="OKH34" s="713"/>
      <c r="OKI34" s="713"/>
      <c r="OKJ34" s="713"/>
      <c r="OKK34" s="713"/>
      <c r="OKL34" s="713"/>
      <c r="OKM34" s="713"/>
      <c r="OKN34" s="713"/>
      <c r="OKO34" s="713"/>
      <c r="OKP34" s="713"/>
      <c r="OKQ34" s="713"/>
      <c r="OKR34" s="713"/>
      <c r="OKS34" s="713"/>
      <c r="OKT34" s="713"/>
      <c r="OKU34" s="713"/>
      <c r="OKV34" s="713"/>
      <c r="OKW34" s="713"/>
      <c r="OKX34" s="713"/>
      <c r="OKY34" s="713"/>
      <c r="OKZ34" s="713"/>
      <c r="OLA34" s="713"/>
      <c r="OLB34" s="713"/>
      <c r="OLC34" s="713"/>
      <c r="OLD34" s="713"/>
      <c r="OLE34" s="713"/>
      <c r="OLF34" s="713"/>
      <c r="OLG34" s="713"/>
      <c r="OLH34" s="713"/>
      <c r="OLI34" s="713"/>
      <c r="OLJ34" s="713"/>
      <c r="OLK34" s="713"/>
      <c r="OLL34" s="713"/>
      <c r="OLM34" s="713"/>
      <c r="OLN34" s="713"/>
      <c r="OLO34" s="713"/>
      <c r="OLP34" s="713"/>
      <c r="OLQ34" s="713"/>
      <c r="OLR34" s="713"/>
      <c r="OLS34" s="713"/>
      <c r="OLT34" s="713"/>
      <c r="OLU34" s="713"/>
      <c r="OLV34" s="713"/>
      <c r="OLW34" s="713"/>
      <c r="OLX34" s="713"/>
      <c r="OLY34" s="713"/>
      <c r="OLZ34" s="713"/>
      <c r="OMA34" s="713"/>
      <c r="OMB34" s="713"/>
      <c r="OMC34" s="713"/>
      <c r="OMD34" s="713"/>
      <c r="OME34" s="713"/>
      <c r="OMF34" s="713"/>
      <c r="OMG34" s="713"/>
      <c r="OMH34" s="713"/>
      <c r="OMI34" s="713"/>
      <c r="OMJ34" s="713"/>
      <c r="OMK34" s="713"/>
      <c r="OML34" s="713"/>
      <c r="OMM34" s="713"/>
      <c r="OMN34" s="713"/>
      <c r="OMO34" s="713"/>
      <c r="OMP34" s="713"/>
      <c r="OMQ34" s="713"/>
      <c r="OMR34" s="713"/>
      <c r="OMS34" s="713"/>
      <c r="OMT34" s="713"/>
      <c r="OMU34" s="713"/>
      <c r="OMV34" s="713"/>
      <c r="OMW34" s="713"/>
      <c r="OMX34" s="713"/>
      <c r="OMY34" s="713"/>
      <c r="OMZ34" s="713"/>
      <c r="ONA34" s="713"/>
      <c r="ONB34" s="713"/>
      <c r="ONC34" s="713"/>
      <c r="OND34" s="713"/>
      <c r="ONE34" s="713"/>
      <c r="ONF34" s="713"/>
      <c r="ONG34" s="713"/>
      <c r="ONH34" s="713"/>
      <c r="ONI34" s="713"/>
      <c r="ONJ34" s="713"/>
      <c r="ONK34" s="713"/>
      <c r="ONL34" s="713"/>
      <c r="ONM34" s="713"/>
      <c r="ONN34" s="713"/>
      <c r="ONO34" s="713"/>
      <c r="ONP34" s="713"/>
      <c r="ONQ34" s="713"/>
      <c r="ONR34" s="713"/>
      <c r="ONS34" s="713"/>
      <c r="ONT34" s="713"/>
      <c r="ONU34" s="713"/>
      <c r="ONV34" s="713"/>
      <c r="ONW34" s="713"/>
      <c r="ONX34" s="713"/>
      <c r="ONY34" s="713"/>
      <c r="ONZ34" s="713"/>
      <c r="OOA34" s="713"/>
      <c r="OOB34" s="713"/>
      <c r="OOC34" s="713"/>
      <c r="OOD34" s="713"/>
      <c r="OOE34" s="713"/>
      <c r="OOF34" s="713"/>
      <c r="OOG34" s="713"/>
      <c r="OOH34" s="713"/>
      <c r="OOI34" s="713"/>
      <c r="OOJ34" s="713"/>
      <c r="OOK34" s="713"/>
      <c r="OOL34" s="713"/>
      <c r="OOM34" s="713"/>
      <c r="OON34" s="713"/>
      <c r="OOO34" s="713"/>
      <c r="OOP34" s="713"/>
      <c r="OOQ34" s="713"/>
      <c r="OOR34" s="713"/>
      <c r="OOS34" s="713"/>
      <c r="OOT34" s="713"/>
      <c r="OOU34" s="713"/>
      <c r="OOV34" s="713"/>
      <c r="OOW34" s="713"/>
      <c r="OOX34" s="713"/>
      <c r="OOY34" s="713"/>
      <c r="OOZ34" s="713"/>
      <c r="OPA34" s="713"/>
      <c r="OPB34" s="713"/>
      <c r="OPC34" s="713"/>
      <c r="OPD34" s="713"/>
      <c r="OPE34" s="713"/>
      <c r="OPF34" s="713"/>
      <c r="OPG34" s="713"/>
      <c r="OPH34" s="713"/>
      <c r="OPI34" s="713"/>
      <c r="OPJ34" s="713"/>
      <c r="OPK34" s="713"/>
      <c r="OPL34" s="713"/>
      <c r="OPM34" s="713"/>
      <c r="OPN34" s="713"/>
      <c r="OPO34" s="713"/>
      <c r="OPP34" s="713"/>
      <c r="OPQ34" s="713"/>
      <c r="OPR34" s="713"/>
      <c r="OPS34" s="713"/>
      <c r="OPT34" s="713"/>
      <c r="OPU34" s="713"/>
      <c r="OPV34" s="713"/>
      <c r="OPW34" s="713"/>
      <c r="OPX34" s="713"/>
      <c r="OPY34" s="713"/>
      <c r="OPZ34" s="713"/>
      <c r="OQA34" s="713"/>
      <c r="OQB34" s="713"/>
      <c r="OQC34" s="713"/>
      <c r="OQD34" s="713"/>
      <c r="OQE34" s="713"/>
      <c r="OQF34" s="713"/>
      <c r="OQG34" s="713"/>
      <c r="OQH34" s="713"/>
      <c r="OQI34" s="713"/>
      <c r="OQJ34" s="713"/>
      <c r="OQK34" s="713"/>
      <c r="OQL34" s="713"/>
      <c r="OQM34" s="713"/>
      <c r="OQN34" s="713"/>
      <c r="OQO34" s="713"/>
      <c r="OQP34" s="713"/>
      <c r="OQQ34" s="713"/>
      <c r="OQR34" s="713"/>
      <c r="OQS34" s="713"/>
      <c r="OQT34" s="713"/>
      <c r="OQU34" s="713"/>
      <c r="OQV34" s="713"/>
      <c r="OQW34" s="713"/>
      <c r="OQX34" s="713"/>
      <c r="OQY34" s="713"/>
      <c r="OQZ34" s="713"/>
      <c r="ORA34" s="713"/>
      <c r="ORB34" s="713"/>
      <c r="ORC34" s="713"/>
      <c r="ORD34" s="713"/>
      <c r="ORE34" s="713"/>
      <c r="ORF34" s="713"/>
      <c r="ORG34" s="713"/>
      <c r="ORH34" s="713"/>
      <c r="ORI34" s="713"/>
      <c r="ORJ34" s="713"/>
      <c r="ORK34" s="713"/>
      <c r="ORL34" s="713"/>
      <c r="ORM34" s="713"/>
      <c r="ORN34" s="713"/>
      <c r="ORO34" s="713"/>
      <c r="ORP34" s="713"/>
      <c r="ORQ34" s="713"/>
      <c r="ORR34" s="713"/>
      <c r="ORS34" s="713"/>
      <c r="ORT34" s="713"/>
      <c r="ORU34" s="713"/>
      <c r="ORV34" s="713"/>
      <c r="ORW34" s="713"/>
      <c r="ORX34" s="713"/>
      <c r="ORY34" s="713"/>
      <c r="ORZ34" s="713"/>
      <c r="OSA34" s="713"/>
      <c r="OSB34" s="713"/>
      <c r="OSC34" s="713"/>
      <c r="OSD34" s="713"/>
      <c r="OSE34" s="713"/>
      <c r="OSF34" s="713"/>
      <c r="OSG34" s="713"/>
      <c r="OSH34" s="713"/>
      <c r="OSI34" s="713"/>
      <c r="OSJ34" s="713"/>
      <c r="OSK34" s="713"/>
      <c r="OSL34" s="713"/>
      <c r="OSM34" s="713"/>
      <c r="OSN34" s="713"/>
      <c r="OSO34" s="713"/>
      <c r="OSP34" s="713"/>
      <c r="OSQ34" s="713"/>
      <c r="OSR34" s="713"/>
      <c r="OSS34" s="713"/>
      <c r="OST34" s="713"/>
      <c r="OSU34" s="713"/>
      <c r="OSV34" s="713"/>
      <c r="OSW34" s="713"/>
      <c r="OSX34" s="713"/>
      <c r="OSY34" s="713"/>
      <c r="OSZ34" s="713"/>
      <c r="OTA34" s="713"/>
      <c r="OTB34" s="713"/>
      <c r="OTC34" s="713"/>
      <c r="OTD34" s="713"/>
      <c r="OTE34" s="713"/>
      <c r="OTF34" s="713"/>
      <c r="OTG34" s="713"/>
      <c r="OTH34" s="713"/>
      <c r="OTI34" s="713"/>
      <c r="OTJ34" s="713"/>
      <c r="OTK34" s="713"/>
      <c r="OTL34" s="713"/>
      <c r="OTM34" s="713"/>
      <c r="OTN34" s="713"/>
      <c r="OTO34" s="713"/>
      <c r="OTP34" s="713"/>
      <c r="OTQ34" s="713"/>
      <c r="OTR34" s="713"/>
      <c r="OTS34" s="713"/>
      <c r="OTT34" s="713"/>
      <c r="OTU34" s="713"/>
      <c r="OTV34" s="713"/>
      <c r="OTW34" s="713"/>
      <c r="OTX34" s="713"/>
      <c r="OTY34" s="713"/>
      <c r="OTZ34" s="713"/>
      <c r="OUA34" s="713"/>
      <c r="OUB34" s="713"/>
      <c r="OUC34" s="713"/>
      <c r="OUD34" s="713"/>
      <c r="OUE34" s="713"/>
      <c r="OUF34" s="713"/>
      <c r="OUG34" s="713"/>
      <c r="OUH34" s="713"/>
      <c r="OUI34" s="713"/>
      <c r="OUJ34" s="713"/>
      <c r="OUK34" s="713"/>
      <c r="OUL34" s="713"/>
      <c r="OUM34" s="713"/>
      <c r="OUN34" s="713"/>
      <c r="OUO34" s="713"/>
      <c r="OUP34" s="713"/>
      <c r="OUQ34" s="713"/>
      <c r="OUR34" s="713"/>
      <c r="OUS34" s="713"/>
      <c r="OUT34" s="713"/>
      <c r="OUU34" s="713"/>
      <c r="OUV34" s="713"/>
      <c r="OUW34" s="713"/>
      <c r="OUX34" s="713"/>
      <c r="OUY34" s="713"/>
      <c r="OUZ34" s="713"/>
      <c r="OVA34" s="713"/>
      <c r="OVB34" s="713"/>
      <c r="OVC34" s="713"/>
      <c r="OVD34" s="713"/>
      <c r="OVE34" s="713"/>
      <c r="OVF34" s="713"/>
      <c r="OVG34" s="713"/>
      <c r="OVH34" s="713"/>
      <c r="OVI34" s="713"/>
      <c r="OVJ34" s="713"/>
      <c r="OVK34" s="713"/>
      <c r="OVL34" s="713"/>
      <c r="OVM34" s="713"/>
      <c r="OVN34" s="713"/>
      <c r="OVO34" s="713"/>
      <c r="OVP34" s="713"/>
      <c r="OVQ34" s="713"/>
      <c r="OVR34" s="713"/>
      <c r="OVS34" s="713"/>
      <c r="OVT34" s="713"/>
      <c r="OVU34" s="713"/>
      <c r="OVV34" s="713"/>
      <c r="OVW34" s="713"/>
      <c r="OVX34" s="713"/>
      <c r="OVY34" s="713"/>
      <c r="OVZ34" s="713"/>
      <c r="OWA34" s="713"/>
      <c r="OWB34" s="713"/>
      <c r="OWC34" s="713"/>
      <c r="OWD34" s="713"/>
      <c r="OWE34" s="713"/>
      <c r="OWF34" s="713"/>
      <c r="OWG34" s="713"/>
      <c r="OWH34" s="713"/>
      <c r="OWI34" s="713"/>
      <c r="OWJ34" s="713"/>
      <c r="OWK34" s="713"/>
      <c r="OWL34" s="713"/>
      <c r="OWM34" s="713"/>
      <c r="OWN34" s="713"/>
      <c r="OWO34" s="713"/>
      <c r="OWP34" s="713"/>
      <c r="OWQ34" s="713"/>
      <c r="OWR34" s="713"/>
      <c r="OWS34" s="713"/>
      <c r="OWT34" s="713"/>
      <c r="OWU34" s="713"/>
      <c r="OWV34" s="713"/>
      <c r="OWW34" s="713"/>
      <c r="OWX34" s="713"/>
      <c r="OWY34" s="713"/>
      <c r="OWZ34" s="713"/>
      <c r="OXA34" s="713"/>
      <c r="OXB34" s="713"/>
      <c r="OXC34" s="713"/>
      <c r="OXD34" s="713"/>
      <c r="OXE34" s="713"/>
      <c r="OXF34" s="713"/>
      <c r="OXG34" s="713"/>
      <c r="OXH34" s="713"/>
      <c r="OXI34" s="713"/>
      <c r="OXJ34" s="713"/>
      <c r="OXK34" s="713"/>
      <c r="OXL34" s="713"/>
      <c r="OXM34" s="713"/>
      <c r="OXN34" s="713"/>
      <c r="OXO34" s="713"/>
      <c r="OXP34" s="713"/>
      <c r="OXQ34" s="713"/>
      <c r="OXR34" s="713"/>
      <c r="OXS34" s="713"/>
      <c r="OXT34" s="713"/>
      <c r="OXU34" s="713"/>
      <c r="OXV34" s="713"/>
      <c r="OXW34" s="713"/>
      <c r="OXX34" s="713"/>
      <c r="OXY34" s="713"/>
      <c r="OXZ34" s="713"/>
      <c r="OYA34" s="713"/>
      <c r="OYB34" s="713"/>
      <c r="OYC34" s="713"/>
      <c r="OYD34" s="713"/>
      <c r="OYE34" s="713"/>
      <c r="OYF34" s="713"/>
      <c r="OYG34" s="713"/>
      <c r="OYH34" s="713"/>
      <c r="OYI34" s="713"/>
      <c r="OYJ34" s="713"/>
      <c r="OYK34" s="713"/>
      <c r="OYL34" s="713"/>
      <c r="OYM34" s="713"/>
      <c r="OYN34" s="713"/>
      <c r="OYO34" s="713"/>
      <c r="OYP34" s="713"/>
      <c r="OYQ34" s="713"/>
      <c r="OYR34" s="713"/>
      <c r="OYS34" s="713"/>
      <c r="OYT34" s="713"/>
      <c r="OYU34" s="713"/>
      <c r="OYV34" s="713"/>
      <c r="OYW34" s="713"/>
      <c r="OYX34" s="713"/>
      <c r="OYY34" s="713"/>
      <c r="OYZ34" s="713"/>
      <c r="OZA34" s="713"/>
      <c r="OZB34" s="713"/>
      <c r="OZC34" s="713"/>
      <c r="OZD34" s="713"/>
      <c r="OZE34" s="713"/>
      <c r="OZF34" s="713"/>
      <c r="OZG34" s="713"/>
      <c r="OZH34" s="713"/>
      <c r="OZI34" s="713"/>
      <c r="OZJ34" s="713"/>
      <c r="OZK34" s="713"/>
      <c r="OZL34" s="713"/>
      <c r="OZM34" s="713"/>
      <c r="OZN34" s="713"/>
      <c r="OZO34" s="713"/>
      <c r="OZP34" s="713"/>
      <c r="OZQ34" s="713"/>
      <c r="OZR34" s="713"/>
      <c r="OZS34" s="713"/>
      <c r="OZT34" s="713"/>
      <c r="OZU34" s="713"/>
      <c r="OZV34" s="713"/>
      <c r="OZW34" s="713"/>
      <c r="OZX34" s="713"/>
      <c r="OZY34" s="713"/>
      <c r="OZZ34" s="713"/>
      <c r="PAA34" s="713"/>
      <c r="PAB34" s="713"/>
      <c r="PAC34" s="713"/>
      <c r="PAD34" s="713"/>
      <c r="PAE34" s="713"/>
      <c r="PAF34" s="713"/>
      <c r="PAG34" s="713"/>
      <c r="PAH34" s="713"/>
      <c r="PAI34" s="713"/>
      <c r="PAJ34" s="713"/>
      <c r="PAK34" s="713"/>
      <c r="PAL34" s="713"/>
      <c r="PAM34" s="713"/>
      <c r="PAN34" s="713"/>
      <c r="PAO34" s="713"/>
      <c r="PAP34" s="713"/>
      <c r="PAQ34" s="713"/>
      <c r="PAR34" s="713"/>
      <c r="PAS34" s="713"/>
      <c r="PAT34" s="713"/>
      <c r="PAU34" s="713"/>
      <c r="PAV34" s="713"/>
      <c r="PAW34" s="713"/>
      <c r="PAX34" s="713"/>
      <c r="PAY34" s="713"/>
      <c r="PAZ34" s="713"/>
      <c r="PBA34" s="713"/>
      <c r="PBB34" s="713"/>
      <c r="PBC34" s="713"/>
      <c r="PBD34" s="713"/>
      <c r="PBE34" s="713"/>
      <c r="PBF34" s="713"/>
      <c r="PBG34" s="713"/>
      <c r="PBH34" s="713"/>
      <c r="PBI34" s="713"/>
      <c r="PBJ34" s="713"/>
      <c r="PBK34" s="713"/>
      <c r="PBL34" s="713"/>
      <c r="PBM34" s="713"/>
      <c r="PBN34" s="713"/>
      <c r="PBO34" s="713"/>
      <c r="PBP34" s="713"/>
      <c r="PBQ34" s="713"/>
      <c r="PBR34" s="713"/>
      <c r="PBS34" s="713"/>
      <c r="PBT34" s="713"/>
      <c r="PBU34" s="713"/>
      <c r="PBV34" s="713"/>
      <c r="PBW34" s="713"/>
      <c r="PBX34" s="713"/>
      <c r="PBY34" s="713"/>
      <c r="PBZ34" s="713"/>
      <c r="PCA34" s="713"/>
      <c r="PCB34" s="713"/>
      <c r="PCC34" s="713"/>
      <c r="PCD34" s="713"/>
      <c r="PCE34" s="713"/>
      <c r="PCF34" s="713"/>
      <c r="PCG34" s="713"/>
      <c r="PCH34" s="713"/>
      <c r="PCI34" s="713"/>
      <c r="PCJ34" s="713"/>
      <c r="PCK34" s="713"/>
      <c r="PCL34" s="713"/>
      <c r="PCM34" s="713"/>
      <c r="PCN34" s="713"/>
      <c r="PCO34" s="713"/>
      <c r="PCP34" s="713"/>
      <c r="PCQ34" s="713"/>
      <c r="PCR34" s="713"/>
      <c r="PCS34" s="713"/>
      <c r="PCT34" s="713"/>
      <c r="PCU34" s="713"/>
      <c r="PCV34" s="713"/>
      <c r="PCW34" s="713"/>
      <c r="PCX34" s="713"/>
      <c r="PCY34" s="713"/>
      <c r="PCZ34" s="713"/>
      <c r="PDA34" s="713"/>
      <c r="PDB34" s="713"/>
      <c r="PDC34" s="713"/>
      <c r="PDD34" s="713"/>
      <c r="PDE34" s="713"/>
      <c r="PDF34" s="713"/>
      <c r="PDG34" s="713"/>
      <c r="PDH34" s="713"/>
      <c r="PDI34" s="713"/>
      <c r="PDJ34" s="713"/>
      <c r="PDK34" s="713"/>
      <c r="PDL34" s="713"/>
      <c r="PDM34" s="713"/>
      <c r="PDN34" s="713"/>
      <c r="PDO34" s="713"/>
      <c r="PDP34" s="713"/>
      <c r="PDQ34" s="713"/>
      <c r="PDR34" s="713"/>
      <c r="PDS34" s="713"/>
      <c r="PDT34" s="713"/>
      <c r="PDU34" s="713"/>
      <c r="PDV34" s="713"/>
      <c r="PDW34" s="713"/>
      <c r="PDX34" s="713"/>
      <c r="PDY34" s="713"/>
      <c r="PDZ34" s="713"/>
      <c r="PEA34" s="713"/>
      <c r="PEB34" s="713"/>
      <c r="PEC34" s="713"/>
      <c r="PED34" s="713"/>
      <c r="PEE34" s="713"/>
      <c r="PEF34" s="713"/>
      <c r="PEG34" s="713"/>
      <c r="PEH34" s="713"/>
      <c r="PEI34" s="713"/>
      <c r="PEJ34" s="713"/>
      <c r="PEK34" s="713"/>
      <c r="PEL34" s="713"/>
      <c r="PEM34" s="713"/>
      <c r="PEN34" s="713"/>
      <c r="PEO34" s="713"/>
      <c r="PEP34" s="713"/>
      <c r="PEQ34" s="713"/>
      <c r="PER34" s="713"/>
      <c r="PES34" s="713"/>
      <c r="PET34" s="713"/>
      <c r="PEU34" s="713"/>
      <c r="PEV34" s="713"/>
      <c r="PEW34" s="713"/>
      <c r="PEX34" s="713"/>
      <c r="PEY34" s="713"/>
      <c r="PEZ34" s="713"/>
      <c r="PFA34" s="713"/>
      <c r="PFB34" s="713"/>
      <c r="PFC34" s="713"/>
      <c r="PFD34" s="713"/>
      <c r="PFE34" s="713"/>
      <c r="PFF34" s="713"/>
      <c r="PFG34" s="713"/>
      <c r="PFH34" s="713"/>
      <c r="PFI34" s="713"/>
      <c r="PFJ34" s="713"/>
      <c r="PFK34" s="713"/>
      <c r="PFL34" s="713"/>
      <c r="PFM34" s="713"/>
      <c r="PFN34" s="713"/>
      <c r="PFO34" s="713"/>
      <c r="PFP34" s="713"/>
      <c r="PFQ34" s="713"/>
      <c r="PFR34" s="713"/>
      <c r="PFS34" s="713"/>
      <c r="PFT34" s="713"/>
      <c r="PFU34" s="713"/>
      <c r="PFV34" s="713"/>
      <c r="PFW34" s="713"/>
      <c r="PFX34" s="713"/>
      <c r="PFY34" s="713"/>
      <c r="PFZ34" s="713"/>
      <c r="PGA34" s="713"/>
      <c r="PGB34" s="713"/>
      <c r="PGC34" s="713"/>
      <c r="PGD34" s="713"/>
      <c r="PGE34" s="713"/>
      <c r="PGF34" s="713"/>
      <c r="PGG34" s="713"/>
      <c r="PGH34" s="713"/>
      <c r="PGI34" s="713"/>
      <c r="PGJ34" s="713"/>
      <c r="PGK34" s="713"/>
      <c r="PGL34" s="713"/>
      <c r="PGM34" s="713"/>
      <c r="PGN34" s="713"/>
      <c r="PGO34" s="713"/>
      <c r="PGP34" s="713"/>
      <c r="PGQ34" s="713"/>
      <c r="PGR34" s="713"/>
      <c r="PGS34" s="713"/>
      <c r="PGT34" s="713"/>
      <c r="PGU34" s="713"/>
      <c r="PGV34" s="713"/>
      <c r="PGW34" s="713"/>
      <c r="PGX34" s="713"/>
      <c r="PGY34" s="713"/>
      <c r="PGZ34" s="713"/>
      <c r="PHA34" s="713"/>
      <c r="PHB34" s="713"/>
      <c r="PHC34" s="713"/>
      <c r="PHD34" s="713"/>
      <c r="PHE34" s="713"/>
      <c r="PHF34" s="713"/>
      <c r="PHG34" s="713"/>
      <c r="PHH34" s="713"/>
      <c r="PHI34" s="713"/>
      <c r="PHJ34" s="713"/>
      <c r="PHK34" s="713"/>
      <c r="PHL34" s="713"/>
      <c r="PHM34" s="713"/>
      <c r="PHN34" s="713"/>
      <c r="PHO34" s="713"/>
      <c r="PHP34" s="713"/>
      <c r="PHQ34" s="713"/>
      <c r="PHR34" s="713"/>
      <c r="PHS34" s="713"/>
      <c r="PHT34" s="713"/>
      <c r="PHU34" s="713"/>
      <c r="PHV34" s="713"/>
      <c r="PHW34" s="713"/>
      <c r="PHX34" s="713"/>
      <c r="PHY34" s="713"/>
      <c r="PHZ34" s="713"/>
      <c r="PIA34" s="713"/>
      <c r="PIB34" s="713"/>
      <c r="PIC34" s="713"/>
      <c r="PID34" s="713"/>
      <c r="PIE34" s="713"/>
      <c r="PIF34" s="713"/>
      <c r="PIG34" s="713"/>
      <c r="PIH34" s="713"/>
      <c r="PII34" s="713"/>
      <c r="PIJ34" s="713"/>
      <c r="PIK34" s="713"/>
      <c r="PIL34" s="713"/>
      <c r="PIM34" s="713"/>
      <c r="PIN34" s="713"/>
      <c r="PIO34" s="713"/>
      <c r="PIP34" s="713"/>
      <c r="PIQ34" s="713"/>
      <c r="PIR34" s="713"/>
      <c r="PIS34" s="713"/>
      <c r="PIT34" s="713"/>
      <c r="PIU34" s="713"/>
      <c r="PIV34" s="713"/>
      <c r="PIW34" s="713"/>
      <c r="PIX34" s="713"/>
      <c r="PIY34" s="713"/>
      <c r="PIZ34" s="713"/>
      <c r="PJA34" s="713"/>
      <c r="PJB34" s="713"/>
      <c r="PJC34" s="713"/>
      <c r="PJD34" s="713"/>
      <c r="PJE34" s="713"/>
      <c r="PJF34" s="713"/>
      <c r="PJG34" s="713"/>
      <c r="PJH34" s="713"/>
      <c r="PJI34" s="713"/>
      <c r="PJJ34" s="713"/>
      <c r="PJK34" s="713"/>
      <c r="PJL34" s="713"/>
      <c r="PJM34" s="713"/>
      <c r="PJN34" s="713"/>
      <c r="PJO34" s="713"/>
      <c r="PJP34" s="713"/>
      <c r="PJQ34" s="713"/>
      <c r="PJR34" s="713"/>
      <c r="PJS34" s="713"/>
      <c r="PJT34" s="713"/>
      <c r="PJU34" s="713"/>
      <c r="PJV34" s="713"/>
      <c r="PJW34" s="713"/>
      <c r="PJX34" s="713"/>
      <c r="PJY34" s="713"/>
      <c r="PJZ34" s="713"/>
      <c r="PKA34" s="713"/>
      <c r="PKB34" s="713"/>
      <c r="PKC34" s="713"/>
      <c r="PKD34" s="713"/>
      <c r="PKE34" s="713"/>
      <c r="PKF34" s="713"/>
      <c r="PKG34" s="713"/>
      <c r="PKH34" s="713"/>
      <c r="PKI34" s="713"/>
      <c r="PKJ34" s="713"/>
      <c r="PKK34" s="713"/>
      <c r="PKL34" s="713"/>
      <c r="PKM34" s="713"/>
      <c r="PKN34" s="713"/>
      <c r="PKO34" s="713"/>
      <c r="PKP34" s="713"/>
      <c r="PKQ34" s="713"/>
      <c r="PKR34" s="713"/>
      <c r="PKS34" s="713"/>
      <c r="PKT34" s="713"/>
      <c r="PKU34" s="713"/>
      <c r="PKV34" s="713"/>
      <c r="PKW34" s="713"/>
      <c r="PKX34" s="713"/>
      <c r="PKY34" s="713"/>
      <c r="PKZ34" s="713"/>
      <c r="PLA34" s="713"/>
      <c r="PLB34" s="713"/>
      <c r="PLC34" s="713"/>
      <c r="PLD34" s="713"/>
      <c r="PLE34" s="713"/>
      <c r="PLF34" s="713"/>
      <c r="PLG34" s="713"/>
      <c r="PLH34" s="713"/>
      <c r="PLI34" s="713"/>
      <c r="PLJ34" s="713"/>
      <c r="PLK34" s="713"/>
      <c r="PLL34" s="713"/>
      <c r="PLM34" s="713"/>
      <c r="PLN34" s="713"/>
      <c r="PLO34" s="713"/>
      <c r="PLP34" s="713"/>
      <c r="PLQ34" s="713"/>
      <c r="PLR34" s="713"/>
      <c r="PLS34" s="713"/>
      <c r="PLT34" s="713"/>
      <c r="PLU34" s="713"/>
      <c r="PLV34" s="713"/>
      <c r="PLW34" s="713"/>
      <c r="PLX34" s="713"/>
      <c r="PLY34" s="713"/>
      <c r="PLZ34" s="713"/>
      <c r="PMA34" s="713"/>
      <c r="PMB34" s="713"/>
      <c r="PMC34" s="713"/>
      <c r="PMD34" s="713"/>
      <c r="PME34" s="713"/>
      <c r="PMF34" s="713"/>
      <c r="PMG34" s="713"/>
      <c r="PMH34" s="713"/>
      <c r="PMI34" s="713"/>
      <c r="PMJ34" s="713"/>
      <c r="PMK34" s="713"/>
      <c r="PML34" s="713"/>
      <c r="PMM34" s="713"/>
      <c r="PMN34" s="713"/>
      <c r="PMO34" s="713"/>
      <c r="PMP34" s="713"/>
      <c r="PMQ34" s="713"/>
      <c r="PMR34" s="713"/>
      <c r="PMS34" s="713"/>
      <c r="PMT34" s="713"/>
      <c r="PMU34" s="713"/>
      <c r="PMV34" s="713"/>
      <c r="PMW34" s="713"/>
      <c r="PMX34" s="713"/>
      <c r="PMY34" s="713"/>
      <c r="PMZ34" s="713"/>
      <c r="PNA34" s="713"/>
      <c r="PNB34" s="713"/>
      <c r="PNC34" s="713"/>
      <c r="PND34" s="713"/>
      <c r="PNE34" s="713"/>
      <c r="PNF34" s="713"/>
      <c r="PNG34" s="713"/>
      <c r="PNH34" s="713"/>
      <c r="PNI34" s="713"/>
      <c r="PNJ34" s="713"/>
      <c r="PNK34" s="713"/>
      <c r="PNL34" s="713"/>
      <c r="PNM34" s="713"/>
      <c r="PNN34" s="713"/>
      <c r="PNO34" s="713"/>
      <c r="PNP34" s="713"/>
      <c r="PNQ34" s="713"/>
      <c r="PNR34" s="713"/>
      <c r="PNS34" s="713"/>
      <c r="PNT34" s="713"/>
      <c r="PNU34" s="713"/>
      <c r="PNV34" s="713"/>
      <c r="PNW34" s="713"/>
      <c r="PNX34" s="713"/>
      <c r="PNY34" s="713"/>
      <c r="PNZ34" s="713"/>
      <c r="POA34" s="713"/>
      <c r="POB34" s="713"/>
      <c r="POC34" s="713"/>
      <c r="POD34" s="713"/>
      <c r="POE34" s="713"/>
      <c r="POF34" s="713"/>
      <c r="POG34" s="713"/>
      <c r="POH34" s="713"/>
      <c r="POI34" s="713"/>
      <c r="POJ34" s="713"/>
      <c r="POK34" s="713"/>
      <c r="POL34" s="713"/>
      <c r="POM34" s="713"/>
      <c r="PON34" s="713"/>
      <c r="POO34" s="713"/>
      <c r="POP34" s="713"/>
      <c r="POQ34" s="713"/>
      <c r="POR34" s="713"/>
      <c r="POS34" s="713"/>
      <c r="POT34" s="713"/>
      <c r="POU34" s="713"/>
      <c r="POV34" s="713"/>
      <c r="POW34" s="713"/>
      <c r="POX34" s="713"/>
      <c r="POY34" s="713"/>
      <c r="POZ34" s="713"/>
      <c r="PPA34" s="713"/>
      <c r="PPB34" s="713"/>
      <c r="PPC34" s="713"/>
      <c r="PPD34" s="713"/>
      <c r="PPE34" s="713"/>
      <c r="PPF34" s="713"/>
      <c r="PPG34" s="713"/>
      <c r="PPH34" s="713"/>
      <c r="PPI34" s="713"/>
      <c r="PPJ34" s="713"/>
      <c r="PPK34" s="713"/>
      <c r="PPL34" s="713"/>
      <c r="PPM34" s="713"/>
      <c r="PPN34" s="713"/>
      <c r="PPO34" s="713"/>
      <c r="PPP34" s="713"/>
      <c r="PPQ34" s="713"/>
      <c r="PPR34" s="713"/>
      <c r="PPS34" s="713"/>
      <c r="PPT34" s="713"/>
      <c r="PPU34" s="713"/>
      <c r="PPV34" s="713"/>
      <c r="PPW34" s="713"/>
      <c r="PPX34" s="713"/>
      <c r="PPY34" s="713"/>
      <c r="PPZ34" s="713"/>
      <c r="PQA34" s="713"/>
      <c r="PQB34" s="713"/>
      <c r="PQC34" s="713"/>
      <c r="PQD34" s="713"/>
      <c r="PQE34" s="713"/>
      <c r="PQF34" s="713"/>
      <c r="PQG34" s="713"/>
      <c r="PQH34" s="713"/>
      <c r="PQI34" s="713"/>
      <c r="PQJ34" s="713"/>
      <c r="PQK34" s="713"/>
      <c r="PQL34" s="713"/>
      <c r="PQM34" s="713"/>
      <c r="PQN34" s="713"/>
      <c r="PQO34" s="713"/>
      <c r="PQP34" s="713"/>
      <c r="PQQ34" s="713"/>
      <c r="PQR34" s="713"/>
      <c r="PQS34" s="713"/>
      <c r="PQT34" s="713"/>
      <c r="PQU34" s="713"/>
      <c r="PQV34" s="713"/>
      <c r="PQW34" s="713"/>
      <c r="PQX34" s="713"/>
      <c r="PQY34" s="713"/>
      <c r="PQZ34" s="713"/>
      <c r="PRA34" s="713"/>
      <c r="PRB34" s="713"/>
      <c r="PRC34" s="713"/>
      <c r="PRD34" s="713"/>
      <c r="PRE34" s="713"/>
      <c r="PRF34" s="713"/>
      <c r="PRG34" s="713"/>
      <c r="PRH34" s="713"/>
      <c r="PRI34" s="713"/>
      <c r="PRJ34" s="713"/>
      <c r="PRK34" s="713"/>
      <c r="PRL34" s="713"/>
      <c r="PRM34" s="713"/>
      <c r="PRN34" s="713"/>
      <c r="PRO34" s="713"/>
      <c r="PRP34" s="713"/>
      <c r="PRQ34" s="713"/>
      <c r="PRR34" s="713"/>
      <c r="PRS34" s="713"/>
      <c r="PRT34" s="713"/>
      <c r="PRU34" s="713"/>
      <c r="PRV34" s="713"/>
      <c r="PRW34" s="713"/>
      <c r="PRX34" s="713"/>
      <c r="PRY34" s="713"/>
      <c r="PRZ34" s="713"/>
      <c r="PSA34" s="713"/>
      <c r="PSB34" s="713"/>
      <c r="PSC34" s="713"/>
      <c r="PSD34" s="713"/>
      <c r="PSE34" s="713"/>
      <c r="PSF34" s="713"/>
      <c r="PSG34" s="713"/>
      <c r="PSH34" s="713"/>
      <c r="PSI34" s="713"/>
      <c r="PSJ34" s="713"/>
      <c r="PSK34" s="713"/>
      <c r="PSL34" s="713"/>
      <c r="PSM34" s="713"/>
      <c r="PSN34" s="713"/>
      <c r="PSO34" s="713"/>
      <c r="PSP34" s="713"/>
      <c r="PSQ34" s="713"/>
      <c r="PSR34" s="713"/>
      <c r="PSS34" s="713"/>
      <c r="PST34" s="713"/>
      <c r="PSU34" s="713"/>
      <c r="PSV34" s="713"/>
      <c r="PSW34" s="713"/>
      <c r="PSX34" s="713"/>
      <c r="PSY34" s="713"/>
      <c r="PSZ34" s="713"/>
      <c r="PTA34" s="713"/>
      <c r="PTB34" s="713"/>
      <c r="PTC34" s="713"/>
      <c r="PTD34" s="713"/>
      <c r="PTE34" s="713"/>
      <c r="PTF34" s="713"/>
      <c r="PTG34" s="713"/>
      <c r="PTH34" s="713"/>
      <c r="PTI34" s="713"/>
      <c r="PTJ34" s="713"/>
      <c r="PTK34" s="713"/>
      <c r="PTL34" s="713"/>
      <c r="PTM34" s="713"/>
      <c r="PTN34" s="713"/>
      <c r="PTO34" s="713"/>
      <c r="PTP34" s="713"/>
      <c r="PTQ34" s="713"/>
      <c r="PTR34" s="713"/>
      <c r="PTS34" s="713"/>
      <c r="PTT34" s="713"/>
      <c r="PTU34" s="713"/>
      <c r="PTV34" s="713"/>
      <c r="PTW34" s="713"/>
      <c r="PTX34" s="713"/>
      <c r="PTY34" s="713"/>
      <c r="PTZ34" s="713"/>
      <c r="PUA34" s="713"/>
      <c r="PUB34" s="713"/>
      <c r="PUC34" s="713"/>
      <c r="PUD34" s="713"/>
      <c r="PUE34" s="713"/>
      <c r="PUF34" s="713"/>
      <c r="PUG34" s="713"/>
      <c r="PUH34" s="713"/>
      <c r="PUI34" s="713"/>
      <c r="PUJ34" s="713"/>
      <c r="PUK34" s="713"/>
      <c r="PUL34" s="713"/>
      <c r="PUM34" s="713"/>
      <c r="PUN34" s="713"/>
      <c r="PUO34" s="713"/>
      <c r="PUP34" s="713"/>
      <c r="PUQ34" s="713"/>
      <c r="PUR34" s="713"/>
      <c r="PUS34" s="713"/>
      <c r="PUT34" s="713"/>
      <c r="PUU34" s="713"/>
      <c r="PUV34" s="713"/>
      <c r="PUW34" s="713"/>
      <c r="PUX34" s="713"/>
      <c r="PUY34" s="713"/>
      <c r="PUZ34" s="713"/>
      <c r="PVA34" s="713"/>
      <c r="PVB34" s="713"/>
      <c r="PVC34" s="713"/>
      <c r="PVD34" s="713"/>
      <c r="PVE34" s="713"/>
      <c r="PVF34" s="713"/>
      <c r="PVG34" s="713"/>
      <c r="PVH34" s="713"/>
      <c r="PVI34" s="713"/>
      <c r="PVJ34" s="713"/>
      <c r="PVK34" s="713"/>
      <c r="PVL34" s="713"/>
      <c r="PVM34" s="713"/>
      <c r="PVN34" s="713"/>
      <c r="PVO34" s="713"/>
      <c r="PVP34" s="713"/>
      <c r="PVQ34" s="713"/>
      <c r="PVR34" s="713"/>
      <c r="PVS34" s="713"/>
      <c r="PVT34" s="713"/>
      <c r="PVU34" s="713"/>
      <c r="PVV34" s="713"/>
      <c r="PVW34" s="713"/>
      <c r="PVX34" s="713"/>
      <c r="PVY34" s="713"/>
      <c r="PVZ34" s="713"/>
      <c r="PWA34" s="713"/>
      <c r="PWB34" s="713"/>
      <c r="PWC34" s="713"/>
      <c r="PWD34" s="713"/>
      <c r="PWE34" s="713"/>
      <c r="PWF34" s="713"/>
      <c r="PWG34" s="713"/>
      <c r="PWH34" s="713"/>
      <c r="PWI34" s="713"/>
      <c r="PWJ34" s="713"/>
      <c r="PWK34" s="713"/>
      <c r="PWL34" s="713"/>
      <c r="PWM34" s="713"/>
      <c r="PWN34" s="713"/>
      <c r="PWO34" s="713"/>
      <c r="PWP34" s="713"/>
      <c r="PWQ34" s="713"/>
      <c r="PWR34" s="713"/>
      <c r="PWS34" s="713"/>
      <c r="PWT34" s="713"/>
      <c r="PWU34" s="713"/>
      <c r="PWV34" s="713"/>
      <c r="PWW34" s="713"/>
      <c r="PWX34" s="713"/>
      <c r="PWY34" s="713"/>
      <c r="PWZ34" s="713"/>
      <c r="PXA34" s="713"/>
      <c r="PXB34" s="713"/>
      <c r="PXC34" s="713"/>
      <c r="PXD34" s="713"/>
      <c r="PXE34" s="713"/>
      <c r="PXF34" s="713"/>
      <c r="PXG34" s="713"/>
      <c r="PXH34" s="713"/>
      <c r="PXI34" s="713"/>
      <c r="PXJ34" s="713"/>
      <c r="PXK34" s="713"/>
      <c r="PXL34" s="713"/>
      <c r="PXM34" s="713"/>
      <c r="PXN34" s="713"/>
      <c r="PXO34" s="713"/>
      <c r="PXP34" s="713"/>
      <c r="PXQ34" s="713"/>
      <c r="PXR34" s="713"/>
      <c r="PXS34" s="713"/>
      <c r="PXT34" s="713"/>
      <c r="PXU34" s="713"/>
      <c r="PXV34" s="713"/>
      <c r="PXW34" s="713"/>
      <c r="PXX34" s="713"/>
      <c r="PXY34" s="713"/>
      <c r="PXZ34" s="713"/>
      <c r="PYA34" s="713"/>
      <c r="PYB34" s="713"/>
      <c r="PYC34" s="713"/>
      <c r="PYD34" s="713"/>
      <c r="PYE34" s="713"/>
      <c r="PYF34" s="713"/>
      <c r="PYG34" s="713"/>
      <c r="PYH34" s="713"/>
      <c r="PYI34" s="713"/>
      <c r="PYJ34" s="713"/>
      <c r="PYK34" s="713"/>
      <c r="PYL34" s="713"/>
      <c r="PYM34" s="713"/>
      <c r="PYN34" s="713"/>
      <c r="PYO34" s="713"/>
      <c r="PYP34" s="713"/>
      <c r="PYQ34" s="713"/>
      <c r="PYR34" s="713"/>
      <c r="PYS34" s="713"/>
      <c r="PYT34" s="713"/>
      <c r="PYU34" s="713"/>
      <c r="PYV34" s="713"/>
      <c r="PYW34" s="713"/>
      <c r="PYX34" s="713"/>
      <c r="PYY34" s="713"/>
      <c r="PYZ34" s="713"/>
      <c r="PZA34" s="713"/>
      <c r="PZB34" s="713"/>
      <c r="PZC34" s="713"/>
      <c r="PZD34" s="713"/>
      <c r="PZE34" s="713"/>
      <c r="PZF34" s="713"/>
      <c r="PZG34" s="713"/>
      <c r="PZH34" s="713"/>
      <c r="PZI34" s="713"/>
      <c r="PZJ34" s="713"/>
      <c r="PZK34" s="713"/>
      <c r="PZL34" s="713"/>
      <c r="PZM34" s="713"/>
      <c r="PZN34" s="713"/>
      <c r="PZO34" s="713"/>
      <c r="PZP34" s="713"/>
      <c r="PZQ34" s="713"/>
      <c r="PZR34" s="713"/>
      <c r="PZS34" s="713"/>
      <c r="PZT34" s="713"/>
      <c r="PZU34" s="713"/>
      <c r="PZV34" s="713"/>
      <c r="PZW34" s="713"/>
      <c r="PZX34" s="713"/>
      <c r="PZY34" s="713"/>
      <c r="PZZ34" s="713"/>
      <c r="QAA34" s="713"/>
      <c r="QAB34" s="713"/>
      <c r="QAC34" s="713"/>
      <c r="QAD34" s="713"/>
      <c r="QAE34" s="713"/>
      <c r="QAF34" s="713"/>
      <c r="QAG34" s="713"/>
      <c r="QAH34" s="713"/>
      <c r="QAI34" s="713"/>
      <c r="QAJ34" s="713"/>
      <c r="QAK34" s="713"/>
      <c r="QAL34" s="713"/>
      <c r="QAM34" s="713"/>
      <c r="QAN34" s="713"/>
      <c r="QAO34" s="713"/>
      <c r="QAP34" s="713"/>
      <c r="QAQ34" s="713"/>
      <c r="QAR34" s="713"/>
      <c r="QAS34" s="713"/>
      <c r="QAT34" s="713"/>
      <c r="QAU34" s="713"/>
      <c r="QAV34" s="713"/>
      <c r="QAW34" s="713"/>
      <c r="QAX34" s="713"/>
      <c r="QAY34" s="713"/>
      <c r="QAZ34" s="713"/>
      <c r="QBA34" s="713"/>
      <c r="QBB34" s="713"/>
      <c r="QBC34" s="713"/>
      <c r="QBD34" s="713"/>
      <c r="QBE34" s="713"/>
      <c r="QBF34" s="713"/>
      <c r="QBG34" s="713"/>
      <c r="QBH34" s="713"/>
      <c r="QBI34" s="713"/>
      <c r="QBJ34" s="713"/>
      <c r="QBK34" s="713"/>
      <c r="QBL34" s="713"/>
      <c r="QBM34" s="713"/>
      <c r="QBN34" s="713"/>
      <c r="QBO34" s="713"/>
      <c r="QBP34" s="713"/>
      <c r="QBQ34" s="713"/>
      <c r="QBR34" s="713"/>
      <c r="QBS34" s="713"/>
      <c r="QBT34" s="713"/>
      <c r="QBU34" s="713"/>
      <c r="QBV34" s="713"/>
      <c r="QBW34" s="713"/>
      <c r="QBX34" s="713"/>
      <c r="QBY34" s="713"/>
      <c r="QBZ34" s="713"/>
      <c r="QCA34" s="713"/>
      <c r="QCB34" s="713"/>
      <c r="QCC34" s="713"/>
      <c r="QCD34" s="713"/>
      <c r="QCE34" s="713"/>
      <c r="QCF34" s="713"/>
      <c r="QCG34" s="713"/>
      <c r="QCH34" s="713"/>
      <c r="QCI34" s="713"/>
      <c r="QCJ34" s="713"/>
      <c r="QCK34" s="713"/>
      <c r="QCL34" s="713"/>
      <c r="QCM34" s="713"/>
      <c r="QCN34" s="713"/>
      <c r="QCO34" s="713"/>
      <c r="QCP34" s="713"/>
      <c r="QCQ34" s="713"/>
      <c r="QCR34" s="713"/>
      <c r="QCS34" s="713"/>
      <c r="QCT34" s="713"/>
      <c r="QCU34" s="713"/>
      <c r="QCV34" s="713"/>
      <c r="QCW34" s="713"/>
      <c r="QCX34" s="713"/>
      <c r="QCY34" s="713"/>
      <c r="QCZ34" s="713"/>
      <c r="QDA34" s="713"/>
      <c r="QDB34" s="713"/>
      <c r="QDC34" s="713"/>
      <c r="QDD34" s="713"/>
      <c r="QDE34" s="713"/>
      <c r="QDF34" s="713"/>
      <c r="QDG34" s="713"/>
      <c r="QDH34" s="713"/>
      <c r="QDI34" s="713"/>
      <c r="QDJ34" s="713"/>
      <c r="QDK34" s="713"/>
      <c r="QDL34" s="713"/>
      <c r="QDM34" s="713"/>
      <c r="QDN34" s="713"/>
      <c r="QDO34" s="713"/>
      <c r="QDP34" s="713"/>
      <c r="QDQ34" s="713"/>
      <c r="QDR34" s="713"/>
      <c r="QDS34" s="713"/>
      <c r="QDT34" s="713"/>
      <c r="QDU34" s="713"/>
      <c r="QDV34" s="713"/>
      <c r="QDW34" s="713"/>
      <c r="QDX34" s="713"/>
      <c r="QDY34" s="713"/>
      <c r="QDZ34" s="713"/>
      <c r="QEA34" s="713"/>
      <c r="QEB34" s="713"/>
      <c r="QEC34" s="713"/>
      <c r="QED34" s="713"/>
      <c r="QEE34" s="713"/>
      <c r="QEF34" s="713"/>
      <c r="QEG34" s="713"/>
      <c r="QEH34" s="713"/>
      <c r="QEI34" s="713"/>
      <c r="QEJ34" s="713"/>
      <c r="QEK34" s="713"/>
      <c r="QEL34" s="713"/>
      <c r="QEM34" s="713"/>
      <c r="QEN34" s="713"/>
      <c r="QEO34" s="713"/>
      <c r="QEP34" s="713"/>
      <c r="QEQ34" s="713"/>
      <c r="QER34" s="713"/>
      <c r="QES34" s="713"/>
      <c r="QET34" s="713"/>
      <c r="QEU34" s="713"/>
      <c r="QEV34" s="713"/>
      <c r="QEW34" s="713"/>
      <c r="QEX34" s="713"/>
      <c r="QEY34" s="713"/>
      <c r="QEZ34" s="713"/>
      <c r="QFA34" s="713"/>
      <c r="QFB34" s="713"/>
      <c r="QFC34" s="713"/>
      <c r="QFD34" s="713"/>
      <c r="QFE34" s="713"/>
      <c r="QFF34" s="713"/>
      <c r="QFG34" s="713"/>
      <c r="QFH34" s="713"/>
      <c r="QFI34" s="713"/>
      <c r="QFJ34" s="713"/>
      <c r="QFK34" s="713"/>
      <c r="QFL34" s="713"/>
      <c r="QFM34" s="713"/>
      <c r="QFN34" s="713"/>
      <c r="QFO34" s="713"/>
      <c r="QFP34" s="713"/>
      <c r="QFQ34" s="713"/>
      <c r="QFR34" s="713"/>
      <c r="QFS34" s="713"/>
      <c r="QFT34" s="713"/>
      <c r="QFU34" s="713"/>
      <c r="QFV34" s="713"/>
      <c r="QFW34" s="713"/>
      <c r="QFX34" s="713"/>
      <c r="QFY34" s="713"/>
      <c r="QFZ34" s="713"/>
      <c r="QGA34" s="713"/>
      <c r="QGB34" s="713"/>
      <c r="QGC34" s="713"/>
      <c r="QGD34" s="713"/>
      <c r="QGE34" s="713"/>
      <c r="QGF34" s="713"/>
      <c r="QGG34" s="713"/>
      <c r="QGH34" s="713"/>
      <c r="QGI34" s="713"/>
      <c r="QGJ34" s="713"/>
      <c r="QGK34" s="713"/>
      <c r="QGL34" s="713"/>
      <c r="QGM34" s="713"/>
      <c r="QGN34" s="713"/>
      <c r="QGO34" s="713"/>
      <c r="QGP34" s="713"/>
      <c r="QGQ34" s="713"/>
      <c r="QGR34" s="713"/>
      <c r="QGS34" s="713"/>
      <c r="QGT34" s="713"/>
      <c r="QGU34" s="713"/>
      <c r="QGV34" s="713"/>
      <c r="QGW34" s="713"/>
      <c r="QGX34" s="713"/>
      <c r="QGY34" s="713"/>
      <c r="QGZ34" s="713"/>
      <c r="QHA34" s="713"/>
      <c r="QHB34" s="713"/>
      <c r="QHC34" s="713"/>
      <c r="QHD34" s="713"/>
      <c r="QHE34" s="713"/>
      <c r="QHF34" s="713"/>
      <c r="QHG34" s="713"/>
      <c r="QHH34" s="713"/>
      <c r="QHI34" s="713"/>
      <c r="QHJ34" s="713"/>
      <c r="QHK34" s="713"/>
      <c r="QHL34" s="713"/>
      <c r="QHM34" s="713"/>
      <c r="QHN34" s="713"/>
      <c r="QHO34" s="713"/>
      <c r="QHP34" s="713"/>
      <c r="QHQ34" s="713"/>
      <c r="QHR34" s="713"/>
      <c r="QHS34" s="713"/>
      <c r="QHT34" s="713"/>
      <c r="QHU34" s="713"/>
      <c r="QHV34" s="713"/>
      <c r="QHW34" s="713"/>
      <c r="QHX34" s="713"/>
      <c r="QHY34" s="713"/>
      <c r="QHZ34" s="713"/>
      <c r="QIA34" s="713"/>
      <c r="QIB34" s="713"/>
      <c r="QIC34" s="713"/>
      <c r="QID34" s="713"/>
      <c r="QIE34" s="713"/>
      <c r="QIF34" s="713"/>
      <c r="QIG34" s="713"/>
      <c r="QIH34" s="713"/>
      <c r="QII34" s="713"/>
      <c r="QIJ34" s="713"/>
      <c r="QIK34" s="713"/>
      <c r="QIL34" s="713"/>
      <c r="QIM34" s="713"/>
      <c r="QIN34" s="713"/>
      <c r="QIO34" s="713"/>
      <c r="QIP34" s="713"/>
      <c r="QIQ34" s="713"/>
      <c r="QIR34" s="713"/>
      <c r="QIS34" s="713"/>
      <c r="QIT34" s="713"/>
      <c r="QIU34" s="713"/>
      <c r="QIV34" s="713"/>
      <c r="QIW34" s="713"/>
      <c r="QIX34" s="713"/>
      <c r="QIY34" s="713"/>
      <c r="QIZ34" s="713"/>
      <c r="QJA34" s="713"/>
      <c r="QJB34" s="713"/>
      <c r="QJC34" s="713"/>
      <c r="QJD34" s="713"/>
      <c r="QJE34" s="713"/>
      <c r="QJF34" s="713"/>
      <c r="QJG34" s="713"/>
      <c r="QJH34" s="713"/>
      <c r="QJI34" s="713"/>
      <c r="QJJ34" s="713"/>
      <c r="QJK34" s="713"/>
      <c r="QJL34" s="713"/>
      <c r="QJM34" s="713"/>
      <c r="QJN34" s="713"/>
      <c r="QJO34" s="713"/>
      <c r="QJP34" s="713"/>
      <c r="QJQ34" s="713"/>
      <c r="QJR34" s="713"/>
      <c r="QJS34" s="713"/>
      <c r="QJT34" s="713"/>
      <c r="QJU34" s="713"/>
      <c r="QJV34" s="713"/>
      <c r="QJW34" s="713"/>
      <c r="QJX34" s="713"/>
      <c r="QJY34" s="713"/>
      <c r="QJZ34" s="713"/>
      <c r="QKA34" s="713"/>
      <c r="QKB34" s="713"/>
      <c r="QKC34" s="713"/>
      <c r="QKD34" s="713"/>
      <c r="QKE34" s="713"/>
      <c r="QKF34" s="713"/>
      <c r="QKG34" s="713"/>
      <c r="QKH34" s="713"/>
      <c r="QKI34" s="713"/>
      <c r="QKJ34" s="713"/>
      <c r="QKK34" s="713"/>
      <c r="QKL34" s="713"/>
      <c r="QKM34" s="713"/>
      <c r="QKN34" s="713"/>
      <c r="QKO34" s="713"/>
      <c r="QKP34" s="713"/>
      <c r="QKQ34" s="713"/>
      <c r="QKR34" s="713"/>
      <c r="QKS34" s="713"/>
      <c r="QKT34" s="713"/>
      <c r="QKU34" s="713"/>
      <c r="QKV34" s="713"/>
      <c r="QKW34" s="713"/>
      <c r="QKX34" s="713"/>
      <c r="QKY34" s="713"/>
      <c r="QKZ34" s="713"/>
      <c r="QLA34" s="713"/>
      <c r="QLB34" s="713"/>
      <c r="QLC34" s="713"/>
      <c r="QLD34" s="713"/>
      <c r="QLE34" s="713"/>
      <c r="QLF34" s="713"/>
      <c r="QLG34" s="713"/>
      <c r="QLH34" s="713"/>
      <c r="QLI34" s="713"/>
      <c r="QLJ34" s="713"/>
      <c r="QLK34" s="713"/>
      <c r="QLL34" s="713"/>
      <c r="QLM34" s="713"/>
      <c r="QLN34" s="713"/>
      <c r="QLO34" s="713"/>
      <c r="QLP34" s="713"/>
      <c r="QLQ34" s="713"/>
      <c r="QLR34" s="713"/>
      <c r="QLS34" s="713"/>
      <c r="QLT34" s="713"/>
      <c r="QLU34" s="713"/>
      <c r="QLV34" s="713"/>
      <c r="QLW34" s="713"/>
      <c r="QLX34" s="713"/>
      <c r="QLY34" s="713"/>
      <c r="QLZ34" s="713"/>
      <c r="QMA34" s="713"/>
      <c r="QMB34" s="713"/>
      <c r="QMC34" s="713"/>
      <c r="QMD34" s="713"/>
      <c r="QME34" s="713"/>
      <c r="QMF34" s="713"/>
      <c r="QMG34" s="713"/>
      <c r="QMH34" s="713"/>
      <c r="QMI34" s="713"/>
      <c r="QMJ34" s="713"/>
      <c r="QMK34" s="713"/>
      <c r="QML34" s="713"/>
      <c r="QMM34" s="713"/>
      <c r="QMN34" s="713"/>
      <c r="QMO34" s="713"/>
      <c r="QMP34" s="713"/>
      <c r="QMQ34" s="713"/>
      <c r="QMR34" s="713"/>
      <c r="QMS34" s="713"/>
      <c r="QMT34" s="713"/>
      <c r="QMU34" s="713"/>
      <c r="QMV34" s="713"/>
      <c r="QMW34" s="713"/>
      <c r="QMX34" s="713"/>
      <c r="QMY34" s="713"/>
      <c r="QMZ34" s="713"/>
      <c r="QNA34" s="713"/>
      <c r="QNB34" s="713"/>
      <c r="QNC34" s="713"/>
      <c r="QND34" s="713"/>
      <c r="QNE34" s="713"/>
      <c r="QNF34" s="713"/>
      <c r="QNG34" s="713"/>
      <c r="QNH34" s="713"/>
      <c r="QNI34" s="713"/>
      <c r="QNJ34" s="713"/>
      <c r="QNK34" s="713"/>
      <c r="QNL34" s="713"/>
      <c r="QNM34" s="713"/>
      <c r="QNN34" s="713"/>
      <c r="QNO34" s="713"/>
      <c r="QNP34" s="713"/>
      <c r="QNQ34" s="713"/>
      <c r="QNR34" s="713"/>
      <c r="QNS34" s="713"/>
      <c r="QNT34" s="713"/>
      <c r="QNU34" s="713"/>
      <c r="QNV34" s="713"/>
      <c r="QNW34" s="713"/>
      <c r="QNX34" s="713"/>
      <c r="QNY34" s="713"/>
      <c r="QNZ34" s="713"/>
      <c r="QOA34" s="713"/>
      <c r="QOB34" s="713"/>
      <c r="QOC34" s="713"/>
      <c r="QOD34" s="713"/>
      <c r="QOE34" s="713"/>
      <c r="QOF34" s="713"/>
      <c r="QOG34" s="713"/>
      <c r="QOH34" s="713"/>
      <c r="QOI34" s="713"/>
      <c r="QOJ34" s="713"/>
      <c r="QOK34" s="713"/>
      <c r="QOL34" s="713"/>
      <c r="QOM34" s="713"/>
      <c r="QON34" s="713"/>
      <c r="QOO34" s="713"/>
      <c r="QOP34" s="713"/>
      <c r="QOQ34" s="713"/>
      <c r="QOR34" s="713"/>
      <c r="QOS34" s="713"/>
      <c r="QOT34" s="713"/>
      <c r="QOU34" s="713"/>
      <c r="QOV34" s="713"/>
      <c r="QOW34" s="713"/>
      <c r="QOX34" s="713"/>
      <c r="QOY34" s="713"/>
      <c r="QOZ34" s="713"/>
      <c r="QPA34" s="713"/>
      <c r="QPB34" s="713"/>
      <c r="QPC34" s="713"/>
      <c r="QPD34" s="713"/>
      <c r="QPE34" s="713"/>
      <c r="QPF34" s="713"/>
      <c r="QPG34" s="713"/>
      <c r="QPH34" s="713"/>
      <c r="QPI34" s="713"/>
      <c r="QPJ34" s="713"/>
      <c r="QPK34" s="713"/>
      <c r="QPL34" s="713"/>
      <c r="QPM34" s="713"/>
      <c r="QPN34" s="713"/>
      <c r="QPO34" s="713"/>
      <c r="QPP34" s="713"/>
      <c r="QPQ34" s="713"/>
      <c r="QPR34" s="713"/>
      <c r="QPS34" s="713"/>
      <c r="QPT34" s="713"/>
      <c r="QPU34" s="713"/>
      <c r="QPV34" s="713"/>
      <c r="QPW34" s="713"/>
      <c r="QPX34" s="713"/>
      <c r="QPY34" s="713"/>
      <c r="QPZ34" s="713"/>
      <c r="QQA34" s="713"/>
      <c r="QQB34" s="713"/>
      <c r="QQC34" s="713"/>
      <c r="QQD34" s="713"/>
      <c r="QQE34" s="713"/>
      <c r="QQF34" s="713"/>
      <c r="QQG34" s="713"/>
      <c r="QQH34" s="713"/>
      <c r="QQI34" s="713"/>
      <c r="QQJ34" s="713"/>
      <c r="QQK34" s="713"/>
      <c r="QQL34" s="713"/>
      <c r="QQM34" s="713"/>
      <c r="QQN34" s="713"/>
      <c r="QQO34" s="713"/>
      <c r="QQP34" s="713"/>
      <c r="QQQ34" s="713"/>
      <c r="QQR34" s="713"/>
      <c r="QQS34" s="713"/>
      <c r="QQT34" s="713"/>
      <c r="QQU34" s="713"/>
      <c r="QQV34" s="713"/>
      <c r="QQW34" s="713"/>
      <c r="QQX34" s="713"/>
      <c r="QQY34" s="713"/>
      <c r="QQZ34" s="713"/>
      <c r="QRA34" s="713"/>
      <c r="QRB34" s="713"/>
      <c r="QRC34" s="713"/>
      <c r="QRD34" s="713"/>
      <c r="QRE34" s="713"/>
      <c r="QRF34" s="713"/>
      <c r="QRG34" s="713"/>
      <c r="QRH34" s="713"/>
      <c r="QRI34" s="713"/>
      <c r="QRJ34" s="713"/>
      <c r="QRK34" s="713"/>
      <c r="QRL34" s="713"/>
      <c r="QRM34" s="713"/>
      <c r="QRN34" s="713"/>
      <c r="QRO34" s="713"/>
      <c r="QRP34" s="713"/>
      <c r="QRQ34" s="713"/>
      <c r="QRR34" s="713"/>
      <c r="QRS34" s="713"/>
      <c r="QRT34" s="713"/>
      <c r="QRU34" s="713"/>
      <c r="QRV34" s="713"/>
      <c r="QRW34" s="713"/>
      <c r="QRX34" s="713"/>
      <c r="QRY34" s="713"/>
      <c r="QRZ34" s="713"/>
      <c r="QSA34" s="713"/>
      <c r="QSB34" s="713"/>
      <c r="QSC34" s="713"/>
      <c r="QSD34" s="713"/>
      <c r="QSE34" s="713"/>
      <c r="QSF34" s="713"/>
      <c r="QSG34" s="713"/>
      <c r="QSH34" s="713"/>
      <c r="QSI34" s="713"/>
      <c r="QSJ34" s="713"/>
      <c r="QSK34" s="713"/>
      <c r="QSL34" s="713"/>
      <c r="QSM34" s="713"/>
      <c r="QSN34" s="713"/>
      <c r="QSO34" s="713"/>
      <c r="QSP34" s="713"/>
      <c r="QSQ34" s="713"/>
      <c r="QSR34" s="713"/>
      <c r="QSS34" s="713"/>
      <c r="QST34" s="713"/>
      <c r="QSU34" s="713"/>
      <c r="QSV34" s="713"/>
      <c r="QSW34" s="713"/>
      <c r="QSX34" s="713"/>
      <c r="QSY34" s="713"/>
      <c r="QSZ34" s="713"/>
      <c r="QTA34" s="713"/>
      <c r="QTB34" s="713"/>
      <c r="QTC34" s="713"/>
      <c r="QTD34" s="713"/>
      <c r="QTE34" s="713"/>
      <c r="QTF34" s="713"/>
      <c r="QTG34" s="713"/>
      <c r="QTH34" s="713"/>
      <c r="QTI34" s="713"/>
      <c r="QTJ34" s="713"/>
      <c r="QTK34" s="713"/>
      <c r="QTL34" s="713"/>
      <c r="QTM34" s="713"/>
      <c r="QTN34" s="713"/>
      <c r="QTO34" s="713"/>
      <c r="QTP34" s="713"/>
      <c r="QTQ34" s="713"/>
      <c r="QTR34" s="713"/>
      <c r="QTS34" s="713"/>
      <c r="QTT34" s="713"/>
      <c r="QTU34" s="713"/>
      <c r="QTV34" s="713"/>
      <c r="QTW34" s="713"/>
      <c r="QTX34" s="713"/>
      <c r="QTY34" s="713"/>
      <c r="QTZ34" s="713"/>
      <c r="QUA34" s="713"/>
      <c r="QUB34" s="713"/>
      <c r="QUC34" s="713"/>
      <c r="QUD34" s="713"/>
      <c r="QUE34" s="713"/>
      <c r="QUF34" s="713"/>
      <c r="QUG34" s="713"/>
      <c r="QUH34" s="713"/>
      <c r="QUI34" s="713"/>
      <c r="QUJ34" s="713"/>
      <c r="QUK34" s="713"/>
      <c r="QUL34" s="713"/>
      <c r="QUM34" s="713"/>
      <c r="QUN34" s="713"/>
      <c r="QUO34" s="713"/>
      <c r="QUP34" s="713"/>
      <c r="QUQ34" s="713"/>
      <c r="QUR34" s="713"/>
      <c r="QUS34" s="713"/>
      <c r="QUT34" s="713"/>
      <c r="QUU34" s="713"/>
      <c r="QUV34" s="713"/>
      <c r="QUW34" s="713"/>
      <c r="QUX34" s="713"/>
      <c r="QUY34" s="713"/>
      <c r="QUZ34" s="713"/>
      <c r="QVA34" s="713"/>
      <c r="QVB34" s="713"/>
      <c r="QVC34" s="713"/>
      <c r="QVD34" s="713"/>
      <c r="QVE34" s="713"/>
      <c r="QVF34" s="713"/>
      <c r="QVG34" s="713"/>
      <c r="QVH34" s="713"/>
      <c r="QVI34" s="713"/>
      <c r="QVJ34" s="713"/>
      <c r="QVK34" s="713"/>
      <c r="QVL34" s="713"/>
      <c r="QVM34" s="713"/>
      <c r="QVN34" s="713"/>
      <c r="QVO34" s="713"/>
      <c r="QVP34" s="713"/>
      <c r="QVQ34" s="713"/>
      <c r="QVR34" s="713"/>
      <c r="QVS34" s="713"/>
      <c r="QVT34" s="713"/>
      <c r="QVU34" s="713"/>
      <c r="QVV34" s="713"/>
      <c r="QVW34" s="713"/>
      <c r="QVX34" s="713"/>
      <c r="QVY34" s="713"/>
      <c r="QVZ34" s="713"/>
      <c r="QWA34" s="713"/>
      <c r="QWB34" s="713"/>
      <c r="QWC34" s="713"/>
      <c r="QWD34" s="713"/>
      <c r="QWE34" s="713"/>
      <c r="QWF34" s="713"/>
      <c r="QWG34" s="713"/>
      <c r="QWH34" s="713"/>
      <c r="QWI34" s="713"/>
      <c r="QWJ34" s="713"/>
      <c r="QWK34" s="713"/>
      <c r="QWL34" s="713"/>
      <c r="QWM34" s="713"/>
      <c r="QWN34" s="713"/>
      <c r="QWO34" s="713"/>
      <c r="QWP34" s="713"/>
      <c r="QWQ34" s="713"/>
      <c r="QWR34" s="713"/>
      <c r="QWS34" s="713"/>
      <c r="QWT34" s="713"/>
      <c r="QWU34" s="713"/>
      <c r="QWV34" s="713"/>
      <c r="QWW34" s="713"/>
      <c r="QWX34" s="713"/>
      <c r="QWY34" s="713"/>
      <c r="QWZ34" s="713"/>
      <c r="QXA34" s="713"/>
      <c r="QXB34" s="713"/>
      <c r="QXC34" s="713"/>
      <c r="QXD34" s="713"/>
      <c r="QXE34" s="713"/>
      <c r="QXF34" s="713"/>
      <c r="QXG34" s="713"/>
      <c r="QXH34" s="713"/>
      <c r="QXI34" s="713"/>
      <c r="QXJ34" s="713"/>
      <c r="QXK34" s="713"/>
      <c r="QXL34" s="713"/>
      <c r="QXM34" s="713"/>
      <c r="QXN34" s="713"/>
      <c r="QXO34" s="713"/>
      <c r="QXP34" s="713"/>
      <c r="QXQ34" s="713"/>
      <c r="QXR34" s="713"/>
      <c r="QXS34" s="713"/>
      <c r="QXT34" s="713"/>
      <c r="QXU34" s="713"/>
      <c r="QXV34" s="713"/>
      <c r="QXW34" s="713"/>
      <c r="QXX34" s="713"/>
      <c r="QXY34" s="713"/>
      <c r="QXZ34" s="713"/>
      <c r="QYA34" s="713"/>
      <c r="QYB34" s="713"/>
      <c r="QYC34" s="713"/>
      <c r="QYD34" s="713"/>
      <c r="QYE34" s="713"/>
      <c r="QYF34" s="713"/>
      <c r="QYG34" s="713"/>
      <c r="QYH34" s="713"/>
      <c r="QYI34" s="713"/>
      <c r="QYJ34" s="713"/>
      <c r="QYK34" s="713"/>
      <c r="QYL34" s="713"/>
      <c r="QYM34" s="713"/>
      <c r="QYN34" s="713"/>
      <c r="QYO34" s="713"/>
      <c r="QYP34" s="713"/>
      <c r="QYQ34" s="713"/>
      <c r="QYR34" s="713"/>
      <c r="QYS34" s="713"/>
      <c r="QYT34" s="713"/>
      <c r="QYU34" s="713"/>
      <c r="QYV34" s="713"/>
      <c r="QYW34" s="713"/>
      <c r="QYX34" s="713"/>
      <c r="QYY34" s="713"/>
      <c r="QYZ34" s="713"/>
      <c r="QZA34" s="713"/>
      <c r="QZB34" s="713"/>
      <c r="QZC34" s="713"/>
      <c r="QZD34" s="713"/>
      <c r="QZE34" s="713"/>
      <c r="QZF34" s="713"/>
      <c r="QZG34" s="713"/>
      <c r="QZH34" s="713"/>
      <c r="QZI34" s="713"/>
      <c r="QZJ34" s="713"/>
      <c r="QZK34" s="713"/>
      <c r="QZL34" s="713"/>
      <c r="QZM34" s="713"/>
      <c r="QZN34" s="713"/>
      <c r="QZO34" s="713"/>
      <c r="QZP34" s="713"/>
      <c r="QZQ34" s="713"/>
      <c r="QZR34" s="713"/>
      <c r="QZS34" s="713"/>
      <c r="QZT34" s="713"/>
      <c r="QZU34" s="713"/>
      <c r="QZV34" s="713"/>
      <c r="QZW34" s="713"/>
      <c r="QZX34" s="713"/>
      <c r="QZY34" s="713"/>
      <c r="QZZ34" s="713"/>
      <c r="RAA34" s="713"/>
      <c r="RAB34" s="713"/>
      <c r="RAC34" s="713"/>
      <c r="RAD34" s="713"/>
      <c r="RAE34" s="713"/>
      <c r="RAF34" s="713"/>
      <c r="RAG34" s="713"/>
      <c r="RAH34" s="713"/>
      <c r="RAI34" s="713"/>
      <c r="RAJ34" s="713"/>
      <c r="RAK34" s="713"/>
      <c r="RAL34" s="713"/>
      <c r="RAM34" s="713"/>
      <c r="RAN34" s="713"/>
      <c r="RAO34" s="713"/>
      <c r="RAP34" s="713"/>
      <c r="RAQ34" s="713"/>
      <c r="RAR34" s="713"/>
      <c r="RAS34" s="713"/>
      <c r="RAT34" s="713"/>
      <c r="RAU34" s="713"/>
      <c r="RAV34" s="713"/>
      <c r="RAW34" s="713"/>
      <c r="RAX34" s="713"/>
      <c r="RAY34" s="713"/>
      <c r="RAZ34" s="713"/>
      <c r="RBA34" s="713"/>
      <c r="RBB34" s="713"/>
      <c r="RBC34" s="713"/>
      <c r="RBD34" s="713"/>
      <c r="RBE34" s="713"/>
      <c r="RBF34" s="713"/>
      <c r="RBG34" s="713"/>
      <c r="RBH34" s="713"/>
      <c r="RBI34" s="713"/>
      <c r="RBJ34" s="713"/>
      <c r="RBK34" s="713"/>
      <c r="RBL34" s="713"/>
      <c r="RBM34" s="713"/>
      <c r="RBN34" s="713"/>
      <c r="RBO34" s="713"/>
      <c r="RBP34" s="713"/>
      <c r="RBQ34" s="713"/>
      <c r="RBR34" s="713"/>
      <c r="RBS34" s="713"/>
      <c r="RBT34" s="713"/>
      <c r="RBU34" s="713"/>
      <c r="RBV34" s="713"/>
      <c r="RBW34" s="713"/>
      <c r="RBX34" s="713"/>
      <c r="RBY34" s="713"/>
      <c r="RBZ34" s="713"/>
      <c r="RCA34" s="713"/>
      <c r="RCB34" s="713"/>
      <c r="RCC34" s="713"/>
      <c r="RCD34" s="713"/>
      <c r="RCE34" s="713"/>
      <c r="RCF34" s="713"/>
      <c r="RCG34" s="713"/>
      <c r="RCH34" s="713"/>
      <c r="RCI34" s="713"/>
      <c r="RCJ34" s="713"/>
      <c r="RCK34" s="713"/>
      <c r="RCL34" s="713"/>
      <c r="RCM34" s="713"/>
      <c r="RCN34" s="713"/>
      <c r="RCO34" s="713"/>
      <c r="RCP34" s="713"/>
      <c r="RCQ34" s="713"/>
      <c r="RCR34" s="713"/>
      <c r="RCS34" s="713"/>
      <c r="RCT34" s="713"/>
      <c r="RCU34" s="713"/>
      <c r="RCV34" s="713"/>
      <c r="RCW34" s="713"/>
      <c r="RCX34" s="713"/>
      <c r="RCY34" s="713"/>
      <c r="RCZ34" s="713"/>
      <c r="RDA34" s="713"/>
      <c r="RDB34" s="713"/>
      <c r="RDC34" s="713"/>
      <c r="RDD34" s="713"/>
      <c r="RDE34" s="713"/>
      <c r="RDF34" s="713"/>
      <c r="RDG34" s="713"/>
      <c r="RDH34" s="713"/>
      <c r="RDI34" s="713"/>
      <c r="RDJ34" s="713"/>
      <c r="RDK34" s="713"/>
      <c r="RDL34" s="713"/>
      <c r="RDM34" s="713"/>
      <c r="RDN34" s="713"/>
      <c r="RDO34" s="713"/>
      <c r="RDP34" s="713"/>
      <c r="RDQ34" s="713"/>
      <c r="RDR34" s="713"/>
      <c r="RDS34" s="713"/>
      <c r="RDT34" s="713"/>
      <c r="RDU34" s="713"/>
      <c r="RDV34" s="713"/>
      <c r="RDW34" s="713"/>
      <c r="RDX34" s="713"/>
      <c r="RDY34" s="713"/>
      <c r="RDZ34" s="713"/>
      <c r="REA34" s="713"/>
      <c r="REB34" s="713"/>
      <c r="REC34" s="713"/>
      <c r="RED34" s="713"/>
      <c r="REE34" s="713"/>
      <c r="REF34" s="713"/>
      <c r="REG34" s="713"/>
      <c r="REH34" s="713"/>
      <c r="REI34" s="713"/>
      <c r="REJ34" s="713"/>
      <c r="REK34" s="713"/>
      <c r="REL34" s="713"/>
      <c r="REM34" s="713"/>
      <c r="REN34" s="713"/>
      <c r="REO34" s="713"/>
      <c r="REP34" s="713"/>
      <c r="REQ34" s="713"/>
      <c r="RER34" s="713"/>
      <c r="RES34" s="713"/>
      <c r="RET34" s="713"/>
      <c r="REU34" s="713"/>
      <c r="REV34" s="713"/>
      <c r="REW34" s="713"/>
      <c r="REX34" s="713"/>
      <c r="REY34" s="713"/>
      <c r="REZ34" s="713"/>
      <c r="RFA34" s="713"/>
      <c r="RFB34" s="713"/>
      <c r="RFC34" s="713"/>
      <c r="RFD34" s="713"/>
      <c r="RFE34" s="713"/>
      <c r="RFF34" s="713"/>
      <c r="RFG34" s="713"/>
      <c r="RFH34" s="713"/>
      <c r="RFI34" s="713"/>
      <c r="RFJ34" s="713"/>
      <c r="RFK34" s="713"/>
      <c r="RFL34" s="713"/>
      <c r="RFM34" s="713"/>
      <c r="RFN34" s="713"/>
      <c r="RFO34" s="713"/>
      <c r="RFP34" s="713"/>
      <c r="RFQ34" s="713"/>
      <c r="RFR34" s="713"/>
      <c r="RFS34" s="713"/>
      <c r="RFT34" s="713"/>
      <c r="RFU34" s="713"/>
      <c r="RFV34" s="713"/>
      <c r="RFW34" s="713"/>
      <c r="RFX34" s="713"/>
      <c r="RFY34" s="713"/>
      <c r="RFZ34" s="713"/>
      <c r="RGA34" s="713"/>
      <c r="RGB34" s="713"/>
      <c r="RGC34" s="713"/>
      <c r="RGD34" s="713"/>
      <c r="RGE34" s="713"/>
      <c r="RGF34" s="713"/>
      <c r="RGG34" s="713"/>
      <c r="RGH34" s="713"/>
      <c r="RGI34" s="713"/>
      <c r="RGJ34" s="713"/>
      <c r="RGK34" s="713"/>
      <c r="RGL34" s="713"/>
      <c r="RGM34" s="713"/>
      <c r="RGN34" s="713"/>
      <c r="RGO34" s="713"/>
      <c r="RGP34" s="713"/>
      <c r="RGQ34" s="713"/>
      <c r="RGR34" s="713"/>
      <c r="RGS34" s="713"/>
      <c r="RGT34" s="713"/>
      <c r="RGU34" s="713"/>
      <c r="RGV34" s="713"/>
      <c r="RGW34" s="713"/>
      <c r="RGX34" s="713"/>
      <c r="RGY34" s="713"/>
      <c r="RGZ34" s="713"/>
      <c r="RHA34" s="713"/>
      <c r="RHB34" s="713"/>
      <c r="RHC34" s="713"/>
      <c r="RHD34" s="713"/>
      <c r="RHE34" s="713"/>
      <c r="RHF34" s="713"/>
      <c r="RHG34" s="713"/>
      <c r="RHH34" s="713"/>
      <c r="RHI34" s="713"/>
      <c r="RHJ34" s="713"/>
      <c r="RHK34" s="713"/>
      <c r="RHL34" s="713"/>
      <c r="RHM34" s="713"/>
      <c r="RHN34" s="713"/>
      <c r="RHO34" s="713"/>
      <c r="RHP34" s="713"/>
      <c r="RHQ34" s="713"/>
      <c r="RHR34" s="713"/>
      <c r="RHS34" s="713"/>
      <c r="RHT34" s="713"/>
      <c r="RHU34" s="713"/>
      <c r="RHV34" s="713"/>
      <c r="RHW34" s="713"/>
      <c r="RHX34" s="713"/>
      <c r="RHY34" s="713"/>
      <c r="RHZ34" s="713"/>
      <c r="RIA34" s="713"/>
      <c r="RIB34" s="713"/>
      <c r="RIC34" s="713"/>
      <c r="RID34" s="713"/>
      <c r="RIE34" s="713"/>
      <c r="RIF34" s="713"/>
      <c r="RIG34" s="713"/>
      <c r="RIH34" s="713"/>
      <c r="RII34" s="713"/>
      <c r="RIJ34" s="713"/>
      <c r="RIK34" s="713"/>
      <c r="RIL34" s="713"/>
      <c r="RIM34" s="713"/>
      <c r="RIN34" s="713"/>
      <c r="RIO34" s="713"/>
      <c r="RIP34" s="713"/>
      <c r="RIQ34" s="713"/>
      <c r="RIR34" s="713"/>
      <c r="RIS34" s="713"/>
      <c r="RIT34" s="713"/>
      <c r="RIU34" s="713"/>
      <c r="RIV34" s="713"/>
      <c r="RIW34" s="713"/>
      <c r="RIX34" s="713"/>
      <c r="RIY34" s="713"/>
      <c r="RIZ34" s="713"/>
      <c r="RJA34" s="713"/>
      <c r="RJB34" s="713"/>
      <c r="RJC34" s="713"/>
      <c r="RJD34" s="713"/>
      <c r="RJE34" s="713"/>
      <c r="RJF34" s="713"/>
      <c r="RJG34" s="713"/>
      <c r="RJH34" s="713"/>
      <c r="RJI34" s="713"/>
      <c r="RJJ34" s="713"/>
      <c r="RJK34" s="713"/>
      <c r="RJL34" s="713"/>
      <c r="RJM34" s="713"/>
      <c r="RJN34" s="713"/>
      <c r="RJO34" s="713"/>
      <c r="RJP34" s="713"/>
      <c r="RJQ34" s="713"/>
      <c r="RJR34" s="713"/>
      <c r="RJS34" s="713"/>
      <c r="RJT34" s="713"/>
      <c r="RJU34" s="713"/>
      <c r="RJV34" s="713"/>
      <c r="RJW34" s="713"/>
      <c r="RJX34" s="713"/>
      <c r="RJY34" s="713"/>
      <c r="RJZ34" s="713"/>
      <c r="RKA34" s="713"/>
      <c r="RKB34" s="713"/>
      <c r="RKC34" s="713"/>
      <c r="RKD34" s="713"/>
      <c r="RKE34" s="713"/>
      <c r="RKF34" s="713"/>
      <c r="RKG34" s="713"/>
      <c r="RKH34" s="713"/>
      <c r="RKI34" s="713"/>
      <c r="RKJ34" s="713"/>
      <c r="RKK34" s="713"/>
      <c r="RKL34" s="713"/>
      <c r="RKM34" s="713"/>
      <c r="RKN34" s="713"/>
      <c r="RKO34" s="713"/>
      <c r="RKP34" s="713"/>
      <c r="RKQ34" s="713"/>
      <c r="RKR34" s="713"/>
      <c r="RKS34" s="713"/>
      <c r="RKT34" s="713"/>
      <c r="RKU34" s="713"/>
      <c r="RKV34" s="713"/>
      <c r="RKW34" s="713"/>
      <c r="RKX34" s="713"/>
      <c r="RKY34" s="713"/>
      <c r="RKZ34" s="713"/>
      <c r="RLA34" s="713"/>
      <c r="RLB34" s="713"/>
      <c r="RLC34" s="713"/>
      <c r="RLD34" s="713"/>
      <c r="RLE34" s="713"/>
      <c r="RLF34" s="713"/>
      <c r="RLG34" s="713"/>
      <c r="RLH34" s="713"/>
      <c r="RLI34" s="713"/>
      <c r="RLJ34" s="713"/>
      <c r="RLK34" s="713"/>
      <c r="RLL34" s="713"/>
      <c r="RLM34" s="713"/>
      <c r="RLN34" s="713"/>
      <c r="RLO34" s="713"/>
      <c r="RLP34" s="713"/>
      <c r="RLQ34" s="713"/>
      <c r="RLR34" s="713"/>
      <c r="RLS34" s="713"/>
      <c r="RLT34" s="713"/>
      <c r="RLU34" s="713"/>
      <c r="RLV34" s="713"/>
      <c r="RLW34" s="713"/>
      <c r="RLX34" s="713"/>
      <c r="RLY34" s="713"/>
      <c r="RLZ34" s="713"/>
      <c r="RMA34" s="713"/>
      <c r="RMB34" s="713"/>
      <c r="RMC34" s="713"/>
      <c r="RMD34" s="713"/>
      <c r="RME34" s="713"/>
      <c r="RMF34" s="713"/>
      <c r="RMG34" s="713"/>
      <c r="RMH34" s="713"/>
      <c r="RMI34" s="713"/>
      <c r="RMJ34" s="713"/>
      <c r="RMK34" s="713"/>
      <c r="RML34" s="713"/>
      <c r="RMM34" s="713"/>
      <c r="RMN34" s="713"/>
      <c r="RMO34" s="713"/>
      <c r="RMP34" s="713"/>
      <c r="RMQ34" s="713"/>
      <c r="RMR34" s="713"/>
      <c r="RMS34" s="713"/>
      <c r="RMT34" s="713"/>
      <c r="RMU34" s="713"/>
      <c r="RMV34" s="713"/>
      <c r="RMW34" s="713"/>
      <c r="RMX34" s="713"/>
      <c r="RMY34" s="713"/>
      <c r="RMZ34" s="713"/>
      <c r="RNA34" s="713"/>
      <c r="RNB34" s="713"/>
      <c r="RNC34" s="713"/>
      <c r="RND34" s="713"/>
      <c r="RNE34" s="713"/>
      <c r="RNF34" s="713"/>
      <c r="RNG34" s="713"/>
      <c r="RNH34" s="713"/>
      <c r="RNI34" s="713"/>
      <c r="RNJ34" s="713"/>
      <c r="RNK34" s="713"/>
      <c r="RNL34" s="713"/>
      <c r="RNM34" s="713"/>
      <c r="RNN34" s="713"/>
      <c r="RNO34" s="713"/>
      <c r="RNP34" s="713"/>
      <c r="RNQ34" s="713"/>
      <c r="RNR34" s="713"/>
      <c r="RNS34" s="713"/>
      <c r="RNT34" s="713"/>
      <c r="RNU34" s="713"/>
      <c r="RNV34" s="713"/>
      <c r="RNW34" s="713"/>
      <c r="RNX34" s="713"/>
      <c r="RNY34" s="713"/>
      <c r="RNZ34" s="713"/>
      <c r="ROA34" s="713"/>
      <c r="ROB34" s="713"/>
      <c r="ROC34" s="713"/>
      <c r="ROD34" s="713"/>
      <c r="ROE34" s="713"/>
      <c r="ROF34" s="713"/>
      <c r="ROG34" s="713"/>
      <c r="ROH34" s="713"/>
      <c r="ROI34" s="713"/>
      <c r="ROJ34" s="713"/>
      <c r="ROK34" s="713"/>
      <c r="ROL34" s="713"/>
      <c r="ROM34" s="713"/>
      <c r="RON34" s="713"/>
      <c r="ROO34" s="713"/>
      <c r="ROP34" s="713"/>
      <c r="ROQ34" s="713"/>
      <c r="ROR34" s="713"/>
      <c r="ROS34" s="713"/>
      <c r="ROT34" s="713"/>
      <c r="ROU34" s="713"/>
      <c r="ROV34" s="713"/>
      <c r="ROW34" s="713"/>
      <c r="ROX34" s="713"/>
      <c r="ROY34" s="713"/>
      <c r="ROZ34" s="713"/>
      <c r="RPA34" s="713"/>
      <c r="RPB34" s="713"/>
      <c r="RPC34" s="713"/>
      <c r="RPD34" s="713"/>
      <c r="RPE34" s="713"/>
      <c r="RPF34" s="713"/>
      <c r="RPG34" s="713"/>
      <c r="RPH34" s="713"/>
      <c r="RPI34" s="713"/>
      <c r="RPJ34" s="713"/>
      <c r="RPK34" s="713"/>
      <c r="RPL34" s="713"/>
      <c r="RPM34" s="713"/>
      <c r="RPN34" s="713"/>
      <c r="RPO34" s="713"/>
      <c r="RPP34" s="713"/>
      <c r="RPQ34" s="713"/>
      <c r="RPR34" s="713"/>
      <c r="RPS34" s="713"/>
      <c r="RPT34" s="713"/>
      <c r="RPU34" s="713"/>
      <c r="RPV34" s="713"/>
      <c r="RPW34" s="713"/>
      <c r="RPX34" s="713"/>
      <c r="RPY34" s="713"/>
      <c r="RPZ34" s="713"/>
      <c r="RQA34" s="713"/>
      <c r="RQB34" s="713"/>
      <c r="RQC34" s="713"/>
      <c r="RQD34" s="713"/>
      <c r="RQE34" s="713"/>
      <c r="RQF34" s="713"/>
      <c r="RQG34" s="713"/>
      <c r="RQH34" s="713"/>
      <c r="RQI34" s="713"/>
      <c r="RQJ34" s="713"/>
      <c r="RQK34" s="713"/>
      <c r="RQL34" s="713"/>
      <c r="RQM34" s="713"/>
      <c r="RQN34" s="713"/>
      <c r="RQO34" s="713"/>
      <c r="RQP34" s="713"/>
      <c r="RQQ34" s="713"/>
      <c r="RQR34" s="713"/>
      <c r="RQS34" s="713"/>
      <c r="RQT34" s="713"/>
      <c r="RQU34" s="713"/>
      <c r="RQV34" s="713"/>
      <c r="RQW34" s="713"/>
      <c r="RQX34" s="713"/>
      <c r="RQY34" s="713"/>
      <c r="RQZ34" s="713"/>
      <c r="RRA34" s="713"/>
      <c r="RRB34" s="713"/>
      <c r="RRC34" s="713"/>
      <c r="RRD34" s="713"/>
      <c r="RRE34" s="713"/>
      <c r="RRF34" s="713"/>
      <c r="RRG34" s="713"/>
      <c r="RRH34" s="713"/>
      <c r="RRI34" s="713"/>
      <c r="RRJ34" s="713"/>
      <c r="RRK34" s="713"/>
      <c r="RRL34" s="713"/>
      <c r="RRM34" s="713"/>
      <c r="RRN34" s="713"/>
      <c r="RRO34" s="713"/>
      <c r="RRP34" s="713"/>
      <c r="RRQ34" s="713"/>
      <c r="RRR34" s="713"/>
      <c r="RRS34" s="713"/>
      <c r="RRT34" s="713"/>
      <c r="RRU34" s="713"/>
      <c r="RRV34" s="713"/>
      <c r="RRW34" s="713"/>
      <c r="RRX34" s="713"/>
      <c r="RRY34" s="713"/>
      <c r="RRZ34" s="713"/>
      <c r="RSA34" s="713"/>
      <c r="RSB34" s="713"/>
      <c r="RSC34" s="713"/>
      <c r="RSD34" s="713"/>
      <c r="RSE34" s="713"/>
      <c r="RSF34" s="713"/>
      <c r="RSG34" s="713"/>
      <c r="RSH34" s="713"/>
      <c r="RSI34" s="713"/>
      <c r="RSJ34" s="713"/>
      <c r="RSK34" s="713"/>
      <c r="RSL34" s="713"/>
      <c r="RSM34" s="713"/>
      <c r="RSN34" s="713"/>
      <c r="RSO34" s="713"/>
      <c r="RSP34" s="713"/>
      <c r="RSQ34" s="713"/>
      <c r="RSR34" s="713"/>
      <c r="RSS34" s="713"/>
      <c r="RST34" s="713"/>
      <c r="RSU34" s="713"/>
      <c r="RSV34" s="713"/>
      <c r="RSW34" s="713"/>
      <c r="RSX34" s="713"/>
      <c r="RSY34" s="713"/>
      <c r="RSZ34" s="713"/>
      <c r="RTA34" s="713"/>
      <c r="RTB34" s="713"/>
      <c r="RTC34" s="713"/>
      <c r="RTD34" s="713"/>
      <c r="RTE34" s="713"/>
      <c r="RTF34" s="713"/>
      <c r="RTG34" s="713"/>
      <c r="RTH34" s="713"/>
      <c r="RTI34" s="713"/>
      <c r="RTJ34" s="713"/>
      <c r="RTK34" s="713"/>
      <c r="RTL34" s="713"/>
      <c r="RTM34" s="713"/>
      <c r="RTN34" s="713"/>
      <c r="RTO34" s="713"/>
      <c r="RTP34" s="713"/>
      <c r="RTQ34" s="713"/>
      <c r="RTR34" s="713"/>
      <c r="RTS34" s="713"/>
      <c r="RTT34" s="713"/>
      <c r="RTU34" s="713"/>
      <c r="RTV34" s="713"/>
      <c r="RTW34" s="713"/>
      <c r="RTX34" s="713"/>
      <c r="RTY34" s="713"/>
      <c r="RTZ34" s="713"/>
      <c r="RUA34" s="713"/>
      <c r="RUB34" s="713"/>
      <c r="RUC34" s="713"/>
      <c r="RUD34" s="713"/>
      <c r="RUE34" s="713"/>
      <c r="RUF34" s="713"/>
      <c r="RUG34" s="713"/>
      <c r="RUH34" s="713"/>
      <c r="RUI34" s="713"/>
      <c r="RUJ34" s="713"/>
      <c r="RUK34" s="713"/>
      <c r="RUL34" s="713"/>
      <c r="RUM34" s="713"/>
      <c r="RUN34" s="713"/>
      <c r="RUO34" s="713"/>
      <c r="RUP34" s="713"/>
      <c r="RUQ34" s="713"/>
      <c r="RUR34" s="713"/>
      <c r="RUS34" s="713"/>
      <c r="RUT34" s="713"/>
      <c r="RUU34" s="713"/>
      <c r="RUV34" s="713"/>
      <c r="RUW34" s="713"/>
      <c r="RUX34" s="713"/>
      <c r="RUY34" s="713"/>
      <c r="RUZ34" s="713"/>
      <c r="RVA34" s="713"/>
      <c r="RVB34" s="713"/>
      <c r="RVC34" s="713"/>
      <c r="RVD34" s="713"/>
      <c r="RVE34" s="713"/>
      <c r="RVF34" s="713"/>
      <c r="RVG34" s="713"/>
      <c r="RVH34" s="713"/>
      <c r="RVI34" s="713"/>
      <c r="RVJ34" s="713"/>
      <c r="RVK34" s="713"/>
      <c r="RVL34" s="713"/>
      <c r="RVM34" s="713"/>
      <c r="RVN34" s="713"/>
      <c r="RVO34" s="713"/>
      <c r="RVP34" s="713"/>
      <c r="RVQ34" s="713"/>
      <c r="RVR34" s="713"/>
      <c r="RVS34" s="713"/>
      <c r="RVT34" s="713"/>
      <c r="RVU34" s="713"/>
      <c r="RVV34" s="713"/>
      <c r="RVW34" s="713"/>
      <c r="RVX34" s="713"/>
      <c r="RVY34" s="713"/>
      <c r="RVZ34" s="713"/>
      <c r="RWA34" s="713"/>
      <c r="RWB34" s="713"/>
      <c r="RWC34" s="713"/>
      <c r="RWD34" s="713"/>
      <c r="RWE34" s="713"/>
      <c r="RWF34" s="713"/>
      <c r="RWG34" s="713"/>
      <c r="RWH34" s="713"/>
      <c r="RWI34" s="713"/>
      <c r="RWJ34" s="713"/>
      <c r="RWK34" s="713"/>
      <c r="RWL34" s="713"/>
      <c r="RWM34" s="713"/>
      <c r="RWN34" s="713"/>
      <c r="RWO34" s="713"/>
      <c r="RWP34" s="713"/>
      <c r="RWQ34" s="713"/>
      <c r="RWR34" s="713"/>
      <c r="RWS34" s="713"/>
      <c r="RWT34" s="713"/>
      <c r="RWU34" s="713"/>
      <c r="RWV34" s="713"/>
      <c r="RWW34" s="713"/>
      <c r="RWX34" s="713"/>
      <c r="RWY34" s="713"/>
      <c r="RWZ34" s="713"/>
      <c r="RXA34" s="713"/>
      <c r="RXB34" s="713"/>
      <c r="RXC34" s="713"/>
      <c r="RXD34" s="713"/>
      <c r="RXE34" s="713"/>
      <c r="RXF34" s="713"/>
      <c r="RXG34" s="713"/>
      <c r="RXH34" s="713"/>
      <c r="RXI34" s="713"/>
      <c r="RXJ34" s="713"/>
      <c r="RXK34" s="713"/>
      <c r="RXL34" s="713"/>
      <c r="RXM34" s="713"/>
      <c r="RXN34" s="713"/>
      <c r="RXO34" s="713"/>
      <c r="RXP34" s="713"/>
      <c r="RXQ34" s="713"/>
      <c r="RXR34" s="713"/>
      <c r="RXS34" s="713"/>
      <c r="RXT34" s="713"/>
      <c r="RXU34" s="713"/>
      <c r="RXV34" s="713"/>
      <c r="RXW34" s="713"/>
      <c r="RXX34" s="713"/>
      <c r="RXY34" s="713"/>
      <c r="RXZ34" s="713"/>
      <c r="RYA34" s="713"/>
      <c r="RYB34" s="713"/>
      <c r="RYC34" s="713"/>
      <c r="RYD34" s="713"/>
      <c r="RYE34" s="713"/>
      <c r="RYF34" s="713"/>
      <c r="RYG34" s="713"/>
      <c r="RYH34" s="713"/>
      <c r="RYI34" s="713"/>
      <c r="RYJ34" s="713"/>
      <c r="RYK34" s="713"/>
      <c r="RYL34" s="713"/>
      <c r="RYM34" s="713"/>
      <c r="RYN34" s="713"/>
      <c r="RYO34" s="713"/>
      <c r="RYP34" s="713"/>
      <c r="RYQ34" s="713"/>
      <c r="RYR34" s="713"/>
      <c r="RYS34" s="713"/>
      <c r="RYT34" s="713"/>
      <c r="RYU34" s="713"/>
      <c r="RYV34" s="713"/>
      <c r="RYW34" s="713"/>
      <c r="RYX34" s="713"/>
      <c r="RYY34" s="713"/>
      <c r="RYZ34" s="713"/>
      <c r="RZA34" s="713"/>
      <c r="RZB34" s="713"/>
      <c r="RZC34" s="713"/>
      <c r="RZD34" s="713"/>
      <c r="RZE34" s="713"/>
      <c r="RZF34" s="713"/>
      <c r="RZG34" s="713"/>
      <c r="RZH34" s="713"/>
      <c r="RZI34" s="713"/>
      <c r="RZJ34" s="713"/>
      <c r="RZK34" s="713"/>
      <c r="RZL34" s="713"/>
      <c r="RZM34" s="713"/>
      <c r="RZN34" s="713"/>
      <c r="RZO34" s="713"/>
      <c r="RZP34" s="713"/>
      <c r="RZQ34" s="713"/>
      <c r="RZR34" s="713"/>
      <c r="RZS34" s="713"/>
      <c r="RZT34" s="713"/>
      <c r="RZU34" s="713"/>
      <c r="RZV34" s="713"/>
      <c r="RZW34" s="713"/>
      <c r="RZX34" s="713"/>
      <c r="RZY34" s="713"/>
      <c r="RZZ34" s="713"/>
      <c r="SAA34" s="713"/>
      <c r="SAB34" s="713"/>
      <c r="SAC34" s="713"/>
      <c r="SAD34" s="713"/>
      <c r="SAE34" s="713"/>
      <c r="SAF34" s="713"/>
      <c r="SAG34" s="713"/>
      <c r="SAH34" s="713"/>
      <c r="SAI34" s="713"/>
      <c r="SAJ34" s="713"/>
      <c r="SAK34" s="713"/>
      <c r="SAL34" s="713"/>
      <c r="SAM34" s="713"/>
      <c r="SAN34" s="713"/>
      <c r="SAO34" s="713"/>
      <c r="SAP34" s="713"/>
      <c r="SAQ34" s="713"/>
      <c r="SAR34" s="713"/>
      <c r="SAS34" s="713"/>
      <c r="SAT34" s="713"/>
      <c r="SAU34" s="713"/>
      <c r="SAV34" s="713"/>
      <c r="SAW34" s="713"/>
      <c r="SAX34" s="713"/>
      <c r="SAY34" s="713"/>
      <c r="SAZ34" s="713"/>
      <c r="SBA34" s="713"/>
      <c r="SBB34" s="713"/>
      <c r="SBC34" s="713"/>
      <c r="SBD34" s="713"/>
      <c r="SBE34" s="713"/>
      <c r="SBF34" s="713"/>
      <c r="SBG34" s="713"/>
      <c r="SBH34" s="713"/>
      <c r="SBI34" s="713"/>
      <c r="SBJ34" s="713"/>
      <c r="SBK34" s="713"/>
      <c r="SBL34" s="713"/>
      <c r="SBM34" s="713"/>
      <c r="SBN34" s="713"/>
      <c r="SBO34" s="713"/>
      <c r="SBP34" s="713"/>
      <c r="SBQ34" s="713"/>
      <c r="SBR34" s="713"/>
      <c r="SBS34" s="713"/>
      <c r="SBT34" s="713"/>
      <c r="SBU34" s="713"/>
      <c r="SBV34" s="713"/>
      <c r="SBW34" s="713"/>
      <c r="SBX34" s="713"/>
      <c r="SBY34" s="713"/>
      <c r="SBZ34" s="713"/>
      <c r="SCA34" s="713"/>
      <c r="SCB34" s="713"/>
      <c r="SCC34" s="713"/>
      <c r="SCD34" s="713"/>
      <c r="SCE34" s="713"/>
      <c r="SCF34" s="713"/>
      <c r="SCG34" s="713"/>
      <c r="SCH34" s="713"/>
      <c r="SCI34" s="713"/>
      <c r="SCJ34" s="713"/>
      <c r="SCK34" s="713"/>
      <c r="SCL34" s="713"/>
      <c r="SCM34" s="713"/>
      <c r="SCN34" s="713"/>
      <c r="SCO34" s="713"/>
      <c r="SCP34" s="713"/>
      <c r="SCQ34" s="713"/>
      <c r="SCR34" s="713"/>
      <c r="SCS34" s="713"/>
      <c r="SCT34" s="713"/>
      <c r="SCU34" s="713"/>
      <c r="SCV34" s="713"/>
      <c r="SCW34" s="713"/>
      <c r="SCX34" s="713"/>
      <c r="SCY34" s="713"/>
      <c r="SCZ34" s="713"/>
      <c r="SDA34" s="713"/>
      <c r="SDB34" s="713"/>
      <c r="SDC34" s="713"/>
      <c r="SDD34" s="713"/>
      <c r="SDE34" s="713"/>
      <c r="SDF34" s="713"/>
      <c r="SDG34" s="713"/>
      <c r="SDH34" s="713"/>
      <c r="SDI34" s="713"/>
      <c r="SDJ34" s="713"/>
      <c r="SDK34" s="713"/>
      <c r="SDL34" s="713"/>
      <c r="SDM34" s="713"/>
      <c r="SDN34" s="713"/>
      <c r="SDO34" s="713"/>
      <c r="SDP34" s="713"/>
      <c r="SDQ34" s="713"/>
      <c r="SDR34" s="713"/>
      <c r="SDS34" s="713"/>
      <c r="SDT34" s="713"/>
      <c r="SDU34" s="713"/>
      <c r="SDV34" s="713"/>
      <c r="SDW34" s="713"/>
      <c r="SDX34" s="713"/>
      <c r="SDY34" s="713"/>
      <c r="SDZ34" s="713"/>
      <c r="SEA34" s="713"/>
      <c r="SEB34" s="713"/>
      <c r="SEC34" s="713"/>
      <c r="SED34" s="713"/>
      <c r="SEE34" s="713"/>
      <c r="SEF34" s="713"/>
      <c r="SEG34" s="713"/>
      <c r="SEH34" s="713"/>
      <c r="SEI34" s="713"/>
      <c r="SEJ34" s="713"/>
      <c r="SEK34" s="713"/>
      <c r="SEL34" s="713"/>
      <c r="SEM34" s="713"/>
      <c r="SEN34" s="713"/>
      <c r="SEO34" s="713"/>
      <c r="SEP34" s="713"/>
      <c r="SEQ34" s="713"/>
      <c r="SER34" s="713"/>
      <c r="SES34" s="713"/>
      <c r="SET34" s="713"/>
      <c r="SEU34" s="713"/>
      <c r="SEV34" s="713"/>
      <c r="SEW34" s="713"/>
      <c r="SEX34" s="713"/>
      <c r="SEY34" s="713"/>
      <c r="SEZ34" s="713"/>
      <c r="SFA34" s="713"/>
      <c r="SFB34" s="713"/>
      <c r="SFC34" s="713"/>
      <c r="SFD34" s="713"/>
      <c r="SFE34" s="713"/>
      <c r="SFF34" s="713"/>
      <c r="SFG34" s="713"/>
      <c r="SFH34" s="713"/>
      <c r="SFI34" s="713"/>
      <c r="SFJ34" s="713"/>
      <c r="SFK34" s="713"/>
      <c r="SFL34" s="713"/>
      <c r="SFM34" s="713"/>
      <c r="SFN34" s="713"/>
      <c r="SFO34" s="713"/>
      <c r="SFP34" s="713"/>
      <c r="SFQ34" s="713"/>
      <c r="SFR34" s="713"/>
      <c r="SFS34" s="713"/>
      <c r="SFT34" s="713"/>
      <c r="SFU34" s="713"/>
      <c r="SFV34" s="713"/>
      <c r="SFW34" s="713"/>
      <c r="SFX34" s="713"/>
      <c r="SFY34" s="713"/>
      <c r="SFZ34" s="713"/>
      <c r="SGA34" s="713"/>
      <c r="SGB34" s="713"/>
      <c r="SGC34" s="713"/>
      <c r="SGD34" s="713"/>
      <c r="SGE34" s="713"/>
      <c r="SGF34" s="713"/>
      <c r="SGG34" s="713"/>
      <c r="SGH34" s="713"/>
      <c r="SGI34" s="713"/>
      <c r="SGJ34" s="713"/>
      <c r="SGK34" s="713"/>
      <c r="SGL34" s="713"/>
      <c r="SGM34" s="713"/>
      <c r="SGN34" s="713"/>
      <c r="SGO34" s="713"/>
      <c r="SGP34" s="713"/>
      <c r="SGQ34" s="713"/>
      <c r="SGR34" s="713"/>
      <c r="SGS34" s="713"/>
      <c r="SGT34" s="713"/>
      <c r="SGU34" s="713"/>
      <c r="SGV34" s="713"/>
      <c r="SGW34" s="713"/>
      <c r="SGX34" s="713"/>
      <c r="SGY34" s="713"/>
      <c r="SGZ34" s="713"/>
      <c r="SHA34" s="713"/>
      <c r="SHB34" s="713"/>
      <c r="SHC34" s="713"/>
      <c r="SHD34" s="713"/>
      <c r="SHE34" s="713"/>
      <c r="SHF34" s="713"/>
      <c r="SHG34" s="713"/>
      <c r="SHH34" s="713"/>
      <c r="SHI34" s="713"/>
      <c r="SHJ34" s="713"/>
      <c r="SHK34" s="713"/>
      <c r="SHL34" s="713"/>
      <c r="SHM34" s="713"/>
      <c r="SHN34" s="713"/>
      <c r="SHO34" s="713"/>
      <c r="SHP34" s="713"/>
      <c r="SHQ34" s="713"/>
      <c r="SHR34" s="713"/>
      <c r="SHS34" s="713"/>
      <c r="SHT34" s="713"/>
      <c r="SHU34" s="713"/>
      <c r="SHV34" s="713"/>
      <c r="SHW34" s="713"/>
      <c r="SHX34" s="713"/>
      <c r="SHY34" s="713"/>
      <c r="SHZ34" s="713"/>
      <c r="SIA34" s="713"/>
      <c r="SIB34" s="713"/>
      <c r="SIC34" s="713"/>
      <c r="SID34" s="713"/>
      <c r="SIE34" s="713"/>
      <c r="SIF34" s="713"/>
      <c r="SIG34" s="713"/>
      <c r="SIH34" s="713"/>
      <c r="SII34" s="713"/>
      <c r="SIJ34" s="713"/>
      <c r="SIK34" s="713"/>
      <c r="SIL34" s="713"/>
      <c r="SIM34" s="713"/>
      <c r="SIN34" s="713"/>
      <c r="SIO34" s="713"/>
      <c r="SIP34" s="713"/>
      <c r="SIQ34" s="713"/>
      <c r="SIR34" s="713"/>
      <c r="SIS34" s="713"/>
      <c r="SIT34" s="713"/>
      <c r="SIU34" s="713"/>
      <c r="SIV34" s="713"/>
      <c r="SIW34" s="713"/>
      <c r="SIX34" s="713"/>
      <c r="SIY34" s="713"/>
      <c r="SIZ34" s="713"/>
      <c r="SJA34" s="713"/>
      <c r="SJB34" s="713"/>
      <c r="SJC34" s="713"/>
      <c r="SJD34" s="713"/>
      <c r="SJE34" s="713"/>
      <c r="SJF34" s="713"/>
      <c r="SJG34" s="713"/>
      <c r="SJH34" s="713"/>
      <c r="SJI34" s="713"/>
      <c r="SJJ34" s="713"/>
      <c r="SJK34" s="713"/>
      <c r="SJL34" s="713"/>
      <c r="SJM34" s="713"/>
      <c r="SJN34" s="713"/>
      <c r="SJO34" s="713"/>
      <c r="SJP34" s="713"/>
      <c r="SJQ34" s="713"/>
      <c r="SJR34" s="713"/>
      <c r="SJS34" s="713"/>
      <c r="SJT34" s="713"/>
      <c r="SJU34" s="713"/>
      <c r="SJV34" s="713"/>
      <c r="SJW34" s="713"/>
      <c r="SJX34" s="713"/>
      <c r="SJY34" s="713"/>
      <c r="SJZ34" s="713"/>
      <c r="SKA34" s="713"/>
      <c r="SKB34" s="713"/>
      <c r="SKC34" s="713"/>
      <c r="SKD34" s="713"/>
      <c r="SKE34" s="713"/>
      <c r="SKF34" s="713"/>
      <c r="SKG34" s="713"/>
      <c r="SKH34" s="713"/>
      <c r="SKI34" s="713"/>
      <c r="SKJ34" s="713"/>
      <c r="SKK34" s="713"/>
      <c r="SKL34" s="713"/>
      <c r="SKM34" s="713"/>
      <c r="SKN34" s="713"/>
      <c r="SKO34" s="713"/>
      <c r="SKP34" s="713"/>
      <c r="SKQ34" s="713"/>
      <c r="SKR34" s="713"/>
      <c r="SKS34" s="713"/>
      <c r="SKT34" s="713"/>
      <c r="SKU34" s="713"/>
      <c r="SKV34" s="713"/>
      <c r="SKW34" s="713"/>
      <c r="SKX34" s="713"/>
      <c r="SKY34" s="713"/>
      <c r="SKZ34" s="713"/>
      <c r="SLA34" s="713"/>
      <c r="SLB34" s="713"/>
      <c r="SLC34" s="713"/>
      <c r="SLD34" s="713"/>
      <c r="SLE34" s="713"/>
      <c r="SLF34" s="713"/>
      <c r="SLG34" s="713"/>
      <c r="SLH34" s="713"/>
      <c r="SLI34" s="713"/>
      <c r="SLJ34" s="713"/>
      <c r="SLK34" s="713"/>
      <c r="SLL34" s="713"/>
      <c r="SLM34" s="713"/>
      <c r="SLN34" s="713"/>
      <c r="SLO34" s="713"/>
      <c r="SLP34" s="713"/>
      <c r="SLQ34" s="713"/>
      <c r="SLR34" s="713"/>
      <c r="SLS34" s="713"/>
      <c r="SLT34" s="713"/>
      <c r="SLU34" s="713"/>
      <c r="SLV34" s="713"/>
      <c r="SLW34" s="713"/>
      <c r="SLX34" s="713"/>
      <c r="SLY34" s="713"/>
      <c r="SLZ34" s="713"/>
      <c r="SMA34" s="713"/>
      <c r="SMB34" s="713"/>
      <c r="SMC34" s="713"/>
      <c r="SMD34" s="713"/>
      <c r="SME34" s="713"/>
      <c r="SMF34" s="713"/>
      <c r="SMG34" s="713"/>
      <c r="SMH34" s="713"/>
      <c r="SMI34" s="713"/>
      <c r="SMJ34" s="713"/>
      <c r="SMK34" s="713"/>
      <c r="SML34" s="713"/>
      <c r="SMM34" s="713"/>
      <c r="SMN34" s="713"/>
      <c r="SMO34" s="713"/>
      <c r="SMP34" s="713"/>
      <c r="SMQ34" s="713"/>
      <c r="SMR34" s="713"/>
      <c r="SMS34" s="713"/>
      <c r="SMT34" s="713"/>
      <c r="SMU34" s="713"/>
      <c r="SMV34" s="713"/>
      <c r="SMW34" s="713"/>
      <c r="SMX34" s="713"/>
      <c r="SMY34" s="713"/>
      <c r="SMZ34" s="713"/>
      <c r="SNA34" s="713"/>
      <c r="SNB34" s="713"/>
      <c r="SNC34" s="713"/>
      <c r="SND34" s="713"/>
      <c r="SNE34" s="713"/>
      <c r="SNF34" s="713"/>
      <c r="SNG34" s="713"/>
      <c r="SNH34" s="713"/>
      <c r="SNI34" s="713"/>
      <c r="SNJ34" s="713"/>
      <c r="SNK34" s="713"/>
      <c r="SNL34" s="713"/>
      <c r="SNM34" s="713"/>
      <c r="SNN34" s="713"/>
      <c r="SNO34" s="713"/>
      <c r="SNP34" s="713"/>
      <c r="SNQ34" s="713"/>
      <c r="SNR34" s="713"/>
      <c r="SNS34" s="713"/>
      <c r="SNT34" s="713"/>
      <c r="SNU34" s="713"/>
      <c r="SNV34" s="713"/>
      <c r="SNW34" s="713"/>
      <c r="SNX34" s="713"/>
      <c r="SNY34" s="713"/>
      <c r="SNZ34" s="713"/>
      <c r="SOA34" s="713"/>
      <c r="SOB34" s="713"/>
      <c r="SOC34" s="713"/>
      <c r="SOD34" s="713"/>
      <c r="SOE34" s="713"/>
      <c r="SOF34" s="713"/>
      <c r="SOG34" s="713"/>
      <c r="SOH34" s="713"/>
      <c r="SOI34" s="713"/>
      <c r="SOJ34" s="713"/>
      <c r="SOK34" s="713"/>
      <c r="SOL34" s="713"/>
      <c r="SOM34" s="713"/>
      <c r="SON34" s="713"/>
      <c r="SOO34" s="713"/>
      <c r="SOP34" s="713"/>
      <c r="SOQ34" s="713"/>
      <c r="SOR34" s="713"/>
      <c r="SOS34" s="713"/>
      <c r="SOT34" s="713"/>
      <c r="SOU34" s="713"/>
      <c r="SOV34" s="713"/>
      <c r="SOW34" s="713"/>
      <c r="SOX34" s="713"/>
      <c r="SOY34" s="713"/>
      <c r="SOZ34" s="713"/>
      <c r="SPA34" s="713"/>
      <c r="SPB34" s="713"/>
      <c r="SPC34" s="713"/>
      <c r="SPD34" s="713"/>
      <c r="SPE34" s="713"/>
      <c r="SPF34" s="713"/>
      <c r="SPG34" s="713"/>
      <c r="SPH34" s="713"/>
      <c r="SPI34" s="713"/>
      <c r="SPJ34" s="713"/>
      <c r="SPK34" s="713"/>
      <c r="SPL34" s="713"/>
      <c r="SPM34" s="713"/>
      <c r="SPN34" s="713"/>
      <c r="SPO34" s="713"/>
      <c r="SPP34" s="713"/>
      <c r="SPQ34" s="713"/>
      <c r="SPR34" s="713"/>
      <c r="SPS34" s="713"/>
      <c r="SPT34" s="713"/>
      <c r="SPU34" s="713"/>
      <c r="SPV34" s="713"/>
      <c r="SPW34" s="713"/>
      <c r="SPX34" s="713"/>
      <c r="SPY34" s="713"/>
      <c r="SPZ34" s="713"/>
      <c r="SQA34" s="713"/>
      <c r="SQB34" s="713"/>
      <c r="SQC34" s="713"/>
      <c r="SQD34" s="713"/>
      <c r="SQE34" s="713"/>
      <c r="SQF34" s="713"/>
      <c r="SQG34" s="713"/>
      <c r="SQH34" s="713"/>
      <c r="SQI34" s="713"/>
      <c r="SQJ34" s="713"/>
      <c r="SQK34" s="713"/>
      <c r="SQL34" s="713"/>
      <c r="SQM34" s="713"/>
      <c r="SQN34" s="713"/>
      <c r="SQO34" s="713"/>
      <c r="SQP34" s="713"/>
      <c r="SQQ34" s="713"/>
      <c r="SQR34" s="713"/>
      <c r="SQS34" s="713"/>
      <c r="SQT34" s="713"/>
      <c r="SQU34" s="713"/>
      <c r="SQV34" s="713"/>
      <c r="SQW34" s="713"/>
      <c r="SQX34" s="713"/>
      <c r="SQY34" s="713"/>
      <c r="SQZ34" s="713"/>
      <c r="SRA34" s="713"/>
      <c r="SRB34" s="713"/>
      <c r="SRC34" s="713"/>
      <c r="SRD34" s="713"/>
      <c r="SRE34" s="713"/>
      <c r="SRF34" s="713"/>
      <c r="SRG34" s="713"/>
      <c r="SRH34" s="713"/>
      <c r="SRI34" s="713"/>
      <c r="SRJ34" s="713"/>
      <c r="SRK34" s="713"/>
      <c r="SRL34" s="713"/>
      <c r="SRM34" s="713"/>
      <c r="SRN34" s="713"/>
      <c r="SRO34" s="713"/>
      <c r="SRP34" s="713"/>
      <c r="SRQ34" s="713"/>
      <c r="SRR34" s="713"/>
      <c r="SRS34" s="713"/>
      <c r="SRT34" s="713"/>
      <c r="SRU34" s="713"/>
      <c r="SRV34" s="713"/>
      <c r="SRW34" s="713"/>
      <c r="SRX34" s="713"/>
      <c r="SRY34" s="713"/>
      <c r="SRZ34" s="713"/>
      <c r="SSA34" s="713"/>
      <c r="SSB34" s="713"/>
      <c r="SSC34" s="713"/>
      <c r="SSD34" s="713"/>
      <c r="SSE34" s="713"/>
      <c r="SSF34" s="713"/>
      <c r="SSG34" s="713"/>
      <c r="SSH34" s="713"/>
      <c r="SSI34" s="713"/>
      <c r="SSJ34" s="713"/>
      <c r="SSK34" s="713"/>
      <c r="SSL34" s="713"/>
      <c r="SSM34" s="713"/>
      <c r="SSN34" s="713"/>
      <c r="SSO34" s="713"/>
      <c r="SSP34" s="713"/>
      <c r="SSQ34" s="713"/>
      <c r="SSR34" s="713"/>
      <c r="SSS34" s="713"/>
      <c r="SST34" s="713"/>
      <c r="SSU34" s="713"/>
      <c r="SSV34" s="713"/>
      <c r="SSW34" s="713"/>
      <c r="SSX34" s="713"/>
      <c r="SSY34" s="713"/>
      <c r="SSZ34" s="713"/>
      <c r="STA34" s="713"/>
      <c r="STB34" s="713"/>
      <c r="STC34" s="713"/>
      <c r="STD34" s="713"/>
      <c r="STE34" s="713"/>
      <c r="STF34" s="713"/>
      <c r="STG34" s="713"/>
      <c r="STH34" s="713"/>
      <c r="STI34" s="713"/>
      <c r="STJ34" s="713"/>
      <c r="STK34" s="713"/>
      <c r="STL34" s="713"/>
      <c r="STM34" s="713"/>
      <c r="STN34" s="713"/>
      <c r="STO34" s="713"/>
      <c r="STP34" s="713"/>
      <c r="STQ34" s="713"/>
      <c r="STR34" s="713"/>
      <c r="STS34" s="713"/>
      <c r="STT34" s="713"/>
      <c r="STU34" s="713"/>
      <c r="STV34" s="713"/>
      <c r="STW34" s="713"/>
      <c r="STX34" s="713"/>
      <c r="STY34" s="713"/>
      <c r="STZ34" s="713"/>
      <c r="SUA34" s="713"/>
      <c r="SUB34" s="713"/>
      <c r="SUC34" s="713"/>
      <c r="SUD34" s="713"/>
      <c r="SUE34" s="713"/>
      <c r="SUF34" s="713"/>
      <c r="SUG34" s="713"/>
      <c r="SUH34" s="713"/>
      <c r="SUI34" s="713"/>
      <c r="SUJ34" s="713"/>
      <c r="SUK34" s="713"/>
      <c r="SUL34" s="713"/>
      <c r="SUM34" s="713"/>
      <c r="SUN34" s="713"/>
      <c r="SUO34" s="713"/>
      <c r="SUP34" s="713"/>
      <c r="SUQ34" s="713"/>
      <c r="SUR34" s="713"/>
      <c r="SUS34" s="713"/>
      <c r="SUT34" s="713"/>
      <c r="SUU34" s="713"/>
      <c r="SUV34" s="713"/>
      <c r="SUW34" s="713"/>
      <c r="SUX34" s="713"/>
      <c r="SUY34" s="713"/>
      <c r="SUZ34" s="713"/>
      <c r="SVA34" s="713"/>
      <c r="SVB34" s="713"/>
      <c r="SVC34" s="713"/>
      <c r="SVD34" s="713"/>
      <c r="SVE34" s="713"/>
      <c r="SVF34" s="713"/>
      <c r="SVG34" s="713"/>
      <c r="SVH34" s="713"/>
      <c r="SVI34" s="713"/>
      <c r="SVJ34" s="713"/>
      <c r="SVK34" s="713"/>
      <c r="SVL34" s="713"/>
      <c r="SVM34" s="713"/>
      <c r="SVN34" s="713"/>
      <c r="SVO34" s="713"/>
      <c r="SVP34" s="713"/>
      <c r="SVQ34" s="713"/>
      <c r="SVR34" s="713"/>
      <c r="SVS34" s="713"/>
      <c r="SVT34" s="713"/>
      <c r="SVU34" s="713"/>
      <c r="SVV34" s="713"/>
      <c r="SVW34" s="713"/>
      <c r="SVX34" s="713"/>
      <c r="SVY34" s="713"/>
      <c r="SVZ34" s="713"/>
      <c r="SWA34" s="713"/>
      <c r="SWB34" s="713"/>
      <c r="SWC34" s="713"/>
      <c r="SWD34" s="713"/>
      <c r="SWE34" s="713"/>
      <c r="SWF34" s="713"/>
      <c r="SWG34" s="713"/>
      <c r="SWH34" s="713"/>
      <c r="SWI34" s="713"/>
      <c r="SWJ34" s="713"/>
      <c r="SWK34" s="713"/>
      <c r="SWL34" s="713"/>
      <c r="SWM34" s="713"/>
      <c r="SWN34" s="713"/>
      <c r="SWO34" s="713"/>
      <c r="SWP34" s="713"/>
      <c r="SWQ34" s="713"/>
      <c r="SWR34" s="713"/>
      <c r="SWS34" s="713"/>
      <c r="SWT34" s="713"/>
      <c r="SWU34" s="713"/>
      <c r="SWV34" s="713"/>
      <c r="SWW34" s="713"/>
      <c r="SWX34" s="713"/>
      <c r="SWY34" s="713"/>
      <c r="SWZ34" s="713"/>
      <c r="SXA34" s="713"/>
      <c r="SXB34" s="713"/>
      <c r="SXC34" s="713"/>
      <c r="SXD34" s="713"/>
      <c r="SXE34" s="713"/>
      <c r="SXF34" s="713"/>
      <c r="SXG34" s="713"/>
      <c r="SXH34" s="713"/>
      <c r="SXI34" s="713"/>
      <c r="SXJ34" s="713"/>
      <c r="SXK34" s="713"/>
      <c r="SXL34" s="713"/>
      <c r="SXM34" s="713"/>
      <c r="SXN34" s="713"/>
      <c r="SXO34" s="713"/>
      <c r="SXP34" s="713"/>
      <c r="SXQ34" s="713"/>
      <c r="SXR34" s="713"/>
      <c r="SXS34" s="713"/>
      <c r="SXT34" s="713"/>
      <c r="SXU34" s="713"/>
      <c r="SXV34" s="713"/>
      <c r="SXW34" s="713"/>
      <c r="SXX34" s="713"/>
      <c r="SXY34" s="713"/>
      <c r="SXZ34" s="713"/>
      <c r="SYA34" s="713"/>
      <c r="SYB34" s="713"/>
      <c r="SYC34" s="713"/>
      <c r="SYD34" s="713"/>
      <c r="SYE34" s="713"/>
      <c r="SYF34" s="713"/>
      <c r="SYG34" s="713"/>
      <c r="SYH34" s="713"/>
      <c r="SYI34" s="713"/>
      <c r="SYJ34" s="713"/>
      <c r="SYK34" s="713"/>
      <c r="SYL34" s="713"/>
      <c r="SYM34" s="713"/>
      <c r="SYN34" s="713"/>
      <c r="SYO34" s="713"/>
      <c r="SYP34" s="713"/>
      <c r="SYQ34" s="713"/>
      <c r="SYR34" s="713"/>
      <c r="SYS34" s="713"/>
      <c r="SYT34" s="713"/>
      <c r="SYU34" s="713"/>
      <c r="SYV34" s="713"/>
      <c r="SYW34" s="713"/>
      <c r="SYX34" s="713"/>
      <c r="SYY34" s="713"/>
      <c r="SYZ34" s="713"/>
      <c r="SZA34" s="713"/>
      <c r="SZB34" s="713"/>
      <c r="SZC34" s="713"/>
      <c r="SZD34" s="713"/>
      <c r="SZE34" s="713"/>
      <c r="SZF34" s="713"/>
      <c r="SZG34" s="713"/>
      <c r="SZH34" s="713"/>
      <c r="SZI34" s="713"/>
      <c r="SZJ34" s="713"/>
      <c r="SZK34" s="713"/>
      <c r="SZL34" s="713"/>
      <c r="SZM34" s="713"/>
      <c r="SZN34" s="713"/>
      <c r="SZO34" s="713"/>
      <c r="SZP34" s="713"/>
      <c r="SZQ34" s="713"/>
      <c r="SZR34" s="713"/>
      <c r="SZS34" s="713"/>
      <c r="SZT34" s="713"/>
      <c r="SZU34" s="713"/>
      <c r="SZV34" s="713"/>
      <c r="SZW34" s="713"/>
      <c r="SZX34" s="713"/>
      <c r="SZY34" s="713"/>
      <c r="SZZ34" s="713"/>
      <c r="TAA34" s="713"/>
      <c r="TAB34" s="713"/>
      <c r="TAC34" s="713"/>
      <c r="TAD34" s="713"/>
      <c r="TAE34" s="713"/>
      <c r="TAF34" s="713"/>
      <c r="TAG34" s="713"/>
      <c r="TAH34" s="713"/>
      <c r="TAI34" s="713"/>
      <c r="TAJ34" s="713"/>
      <c r="TAK34" s="713"/>
      <c r="TAL34" s="713"/>
      <c r="TAM34" s="713"/>
      <c r="TAN34" s="713"/>
      <c r="TAO34" s="713"/>
      <c r="TAP34" s="713"/>
      <c r="TAQ34" s="713"/>
      <c r="TAR34" s="713"/>
      <c r="TAS34" s="713"/>
      <c r="TAT34" s="713"/>
      <c r="TAU34" s="713"/>
      <c r="TAV34" s="713"/>
      <c r="TAW34" s="713"/>
      <c r="TAX34" s="713"/>
      <c r="TAY34" s="713"/>
      <c r="TAZ34" s="713"/>
      <c r="TBA34" s="713"/>
      <c r="TBB34" s="713"/>
      <c r="TBC34" s="713"/>
      <c r="TBD34" s="713"/>
      <c r="TBE34" s="713"/>
      <c r="TBF34" s="713"/>
      <c r="TBG34" s="713"/>
      <c r="TBH34" s="713"/>
      <c r="TBI34" s="713"/>
      <c r="TBJ34" s="713"/>
      <c r="TBK34" s="713"/>
      <c r="TBL34" s="713"/>
      <c r="TBM34" s="713"/>
      <c r="TBN34" s="713"/>
      <c r="TBO34" s="713"/>
      <c r="TBP34" s="713"/>
      <c r="TBQ34" s="713"/>
      <c r="TBR34" s="713"/>
      <c r="TBS34" s="713"/>
      <c r="TBT34" s="713"/>
      <c r="TBU34" s="713"/>
      <c r="TBV34" s="713"/>
      <c r="TBW34" s="713"/>
      <c r="TBX34" s="713"/>
      <c r="TBY34" s="713"/>
      <c r="TBZ34" s="713"/>
      <c r="TCA34" s="713"/>
      <c r="TCB34" s="713"/>
      <c r="TCC34" s="713"/>
      <c r="TCD34" s="713"/>
      <c r="TCE34" s="713"/>
      <c r="TCF34" s="713"/>
      <c r="TCG34" s="713"/>
      <c r="TCH34" s="713"/>
      <c r="TCI34" s="713"/>
      <c r="TCJ34" s="713"/>
      <c r="TCK34" s="713"/>
      <c r="TCL34" s="713"/>
      <c r="TCM34" s="713"/>
      <c r="TCN34" s="713"/>
      <c r="TCO34" s="713"/>
      <c r="TCP34" s="713"/>
      <c r="TCQ34" s="713"/>
      <c r="TCR34" s="713"/>
      <c r="TCS34" s="713"/>
      <c r="TCT34" s="713"/>
      <c r="TCU34" s="713"/>
      <c r="TCV34" s="713"/>
      <c r="TCW34" s="713"/>
      <c r="TCX34" s="713"/>
      <c r="TCY34" s="713"/>
      <c r="TCZ34" s="713"/>
      <c r="TDA34" s="713"/>
      <c r="TDB34" s="713"/>
      <c r="TDC34" s="713"/>
      <c r="TDD34" s="713"/>
      <c r="TDE34" s="713"/>
      <c r="TDF34" s="713"/>
      <c r="TDG34" s="713"/>
      <c r="TDH34" s="713"/>
      <c r="TDI34" s="713"/>
      <c r="TDJ34" s="713"/>
      <c r="TDK34" s="713"/>
      <c r="TDL34" s="713"/>
      <c r="TDM34" s="713"/>
      <c r="TDN34" s="713"/>
      <c r="TDO34" s="713"/>
      <c r="TDP34" s="713"/>
      <c r="TDQ34" s="713"/>
      <c r="TDR34" s="713"/>
      <c r="TDS34" s="713"/>
      <c r="TDT34" s="713"/>
      <c r="TDU34" s="713"/>
      <c r="TDV34" s="713"/>
      <c r="TDW34" s="713"/>
      <c r="TDX34" s="713"/>
      <c r="TDY34" s="713"/>
      <c r="TDZ34" s="713"/>
      <c r="TEA34" s="713"/>
      <c r="TEB34" s="713"/>
      <c r="TEC34" s="713"/>
      <c r="TED34" s="713"/>
      <c r="TEE34" s="713"/>
      <c r="TEF34" s="713"/>
      <c r="TEG34" s="713"/>
      <c r="TEH34" s="713"/>
      <c r="TEI34" s="713"/>
      <c r="TEJ34" s="713"/>
      <c r="TEK34" s="713"/>
      <c r="TEL34" s="713"/>
      <c r="TEM34" s="713"/>
      <c r="TEN34" s="713"/>
      <c r="TEO34" s="713"/>
      <c r="TEP34" s="713"/>
      <c r="TEQ34" s="713"/>
      <c r="TER34" s="713"/>
      <c r="TES34" s="713"/>
      <c r="TET34" s="713"/>
      <c r="TEU34" s="713"/>
      <c r="TEV34" s="713"/>
      <c r="TEW34" s="713"/>
      <c r="TEX34" s="713"/>
      <c r="TEY34" s="713"/>
      <c r="TEZ34" s="713"/>
      <c r="TFA34" s="713"/>
      <c r="TFB34" s="713"/>
      <c r="TFC34" s="713"/>
      <c r="TFD34" s="713"/>
      <c r="TFE34" s="713"/>
      <c r="TFF34" s="713"/>
      <c r="TFG34" s="713"/>
      <c r="TFH34" s="713"/>
      <c r="TFI34" s="713"/>
      <c r="TFJ34" s="713"/>
      <c r="TFK34" s="713"/>
      <c r="TFL34" s="713"/>
      <c r="TFM34" s="713"/>
      <c r="TFN34" s="713"/>
      <c r="TFO34" s="713"/>
      <c r="TFP34" s="713"/>
      <c r="TFQ34" s="713"/>
      <c r="TFR34" s="713"/>
      <c r="TFS34" s="713"/>
      <c r="TFT34" s="713"/>
      <c r="TFU34" s="713"/>
      <c r="TFV34" s="713"/>
      <c r="TFW34" s="713"/>
      <c r="TFX34" s="713"/>
      <c r="TFY34" s="713"/>
      <c r="TFZ34" s="713"/>
      <c r="TGA34" s="713"/>
      <c r="TGB34" s="713"/>
      <c r="TGC34" s="713"/>
      <c r="TGD34" s="713"/>
      <c r="TGE34" s="713"/>
      <c r="TGF34" s="713"/>
      <c r="TGG34" s="713"/>
      <c r="TGH34" s="713"/>
      <c r="TGI34" s="713"/>
      <c r="TGJ34" s="713"/>
      <c r="TGK34" s="713"/>
      <c r="TGL34" s="713"/>
      <c r="TGM34" s="713"/>
      <c r="TGN34" s="713"/>
      <c r="TGO34" s="713"/>
      <c r="TGP34" s="713"/>
      <c r="TGQ34" s="713"/>
      <c r="TGR34" s="713"/>
      <c r="TGS34" s="713"/>
      <c r="TGT34" s="713"/>
      <c r="TGU34" s="713"/>
      <c r="TGV34" s="713"/>
      <c r="TGW34" s="713"/>
      <c r="TGX34" s="713"/>
      <c r="TGY34" s="713"/>
      <c r="TGZ34" s="713"/>
      <c r="THA34" s="713"/>
      <c r="THB34" s="713"/>
      <c r="THC34" s="713"/>
      <c r="THD34" s="713"/>
      <c r="THE34" s="713"/>
      <c r="THF34" s="713"/>
      <c r="THG34" s="713"/>
      <c r="THH34" s="713"/>
      <c r="THI34" s="713"/>
      <c r="THJ34" s="713"/>
      <c r="THK34" s="713"/>
      <c r="THL34" s="713"/>
      <c r="THM34" s="713"/>
      <c r="THN34" s="713"/>
      <c r="THO34" s="713"/>
      <c r="THP34" s="713"/>
      <c r="THQ34" s="713"/>
      <c r="THR34" s="713"/>
      <c r="THS34" s="713"/>
      <c r="THT34" s="713"/>
      <c r="THU34" s="713"/>
      <c r="THV34" s="713"/>
      <c r="THW34" s="713"/>
      <c r="THX34" s="713"/>
      <c r="THY34" s="713"/>
      <c r="THZ34" s="713"/>
      <c r="TIA34" s="713"/>
      <c r="TIB34" s="713"/>
      <c r="TIC34" s="713"/>
      <c r="TID34" s="713"/>
      <c r="TIE34" s="713"/>
      <c r="TIF34" s="713"/>
      <c r="TIG34" s="713"/>
      <c r="TIH34" s="713"/>
      <c r="TII34" s="713"/>
      <c r="TIJ34" s="713"/>
      <c r="TIK34" s="713"/>
      <c r="TIL34" s="713"/>
      <c r="TIM34" s="713"/>
      <c r="TIN34" s="713"/>
      <c r="TIO34" s="713"/>
      <c r="TIP34" s="713"/>
      <c r="TIQ34" s="713"/>
      <c r="TIR34" s="713"/>
      <c r="TIS34" s="713"/>
      <c r="TIT34" s="713"/>
      <c r="TIU34" s="713"/>
      <c r="TIV34" s="713"/>
      <c r="TIW34" s="713"/>
      <c r="TIX34" s="713"/>
      <c r="TIY34" s="713"/>
      <c r="TIZ34" s="713"/>
      <c r="TJA34" s="713"/>
      <c r="TJB34" s="713"/>
      <c r="TJC34" s="713"/>
      <c r="TJD34" s="713"/>
      <c r="TJE34" s="713"/>
      <c r="TJF34" s="713"/>
      <c r="TJG34" s="713"/>
      <c r="TJH34" s="713"/>
      <c r="TJI34" s="713"/>
      <c r="TJJ34" s="713"/>
      <c r="TJK34" s="713"/>
      <c r="TJL34" s="713"/>
      <c r="TJM34" s="713"/>
      <c r="TJN34" s="713"/>
      <c r="TJO34" s="713"/>
      <c r="TJP34" s="713"/>
      <c r="TJQ34" s="713"/>
      <c r="TJR34" s="713"/>
      <c r="TJS34" s="713"/>
      <c r="TJT34" s="713"/>
      <c r="TJU34" s="713"/>
      <c r="TJV34" s="713"/>
      <c r="TJW34" s="713"/>
      <c r="TJX34" s="713"/>
      <c r="TJY34" s="713"/>
      <c r="TJZ34" s="713"/>
      <c r="TKA34" s="713"/>
      <c r="TKB34" s="713"/>
      <c r="TKC34" s="713"/>
      <c r="TKD34" s="713"/>
      <c r="TKE34" s="713"/>
      <c r="TKF34" s="713"/>
      <c r="TKG34" s="713"/>
      <c r="TKH34" s="713"/>
      <c r="TKI34" s="713"/>
      <c r="TKJ34" s="713"/>
      <c r="TKK34" s="713"/>
      <c r="TKL34" s="713"/>
      <c r="TKM34" s="713"/>
      <c r="TKN34" s="713"/>
      <c r="TKO34" s="713"/>
      <c r="TKP34" s="713"/>
      <c r="TKQ34" s="713"/>
      <c r="TKR34" s="713"/>
      <c r="TKS34" s="713"/>
      <c r="TKT34" s="713"/>
      <c r="TKU34" s="713"/>
      <c r="TKV34" s="713"/>
      <c r="TKW34" s="713"/>
      <c r="TKX34" s="713"/>
      <c r="TKY34" s="713"/>
      <c r="TKZ34" s="713"/>
      <c r="TLA34" s="713"/>
      <c r="TLB34" s="713"/>
      <c r="TLC34" s="713"/>
      <c r="TLD34" s="713"/>
      <c r="TLE34" s="713"/>
      <c r="TLF34" s="713"/>
      <c r="TLG34" s="713"/>
      <c r="TLH34" s="713"/>
      <c r="TLI34" s="713"/>
      <c r="TLJ34" s="713"/>
      <c r="TLK34" s="713"/>
      <c r="TLL34" s="713"/>
      <c r="TLM34" s="713"/>
      <c r="TLN34" s="713"/>
      <c r="TLO34" s="713"/>
      <c r="TLP34" s="713"/>
      <c r="TLQ34" s="713"/>
      <c r="TLR34" s="713"/>
      <c r="TLS34" s="713"/>
      <c r="TLT34" s="713"/>
      <c r="TLU34" s="713"/>
      <c r="TLV34" s="713"/>
      <c r="TLW34" s="713"/>
      <c r="TLX34" s="713"/>
      <c r="TLY34" s="713"/>
      <c r="TLZ34" s="713"/>
      <c r="TMA34" s="713"/>
      <c r="TMB34" s="713"/>
      <c r="TMC34" s="713"/>
      <c r="TMD34" s="713"/>
      <c r="TME34" s="713"/>
      <c r="TMF34" s="713"/>
      <c r="TMG34" s="713"/>
      <c r="TMH34" s="713"/>
      <c r="TMI34" s="713"/>
      <c r="TMJ34" s="713"/>
      <c r="TMK34" s="713"/>
      <c r="TML34" s="713"/>
      <c r="TMM34" s="713"/>
      <c r="TMN34" s="713"/>
      <c r="TMO34" s="713"/>
      <c r="TMP34" s="713"/>
      <c r="TMQ34" s="713"/>
      <c r="TMR34" s="713"/>
      <c r="TMS34" s="713"/>
      <c r="TMT34" s="713"/>
      <c r="TMU34" s="713"/>
      <c r="TMV34" s="713"/>
      <c r="TMW34" s="713"/>
      <c r="TMX34" s="713"/>
      <c r="TMY34" s="713"/>
      <c r="TMZ34" s="713"/>
      <c r="TNA34" s="713"/>
      <c r="TNB34" s="713"/>
      <c r="TNC34" s="713"/>
      <c r="TND34" s="713"/>
      <c r="TNE34" s="713"/>
      <c r="TNF34" s="713"/>
      <c r="TNG34" s="713"/>
      <c r="TNH34" s="713"/>
      <c r="TNI34" s="713"/>
      <c r="TNJ34" s="713"/>
      <c r="TNK34" s="713"/>
      <c r="TNL34" s="713"/>
      <c r="TNM34" s="713"/>
      <c r="TNN34" s="713"/>
      <c r="TNO34" s="713"/>
      <c r="TNP34" s="713"/>
      <c r="TNQ34" s="713"/>
      <c r="TNR34" s="713"/>
      <c r="TNS34" s="713"/>
      <c r="TNT34" s="713"/>
      <c r="TNU34" s="713"/>
      <c r="TNV34" s="713"/>
      <c r="TNW34" s="713"/>
      <c r="TNX34" s="713"/>
      <c r="TNY34" s="713"/>
      <c r="TNZ34" s="713"/>
      <c r="TOA34" s="713"/>
      <c r="TOB34" s="713"/>
      <c r="TOC34" s="713"/>
      <c r="TOD34" s="713"/>
      <c r="TOE34" s="713"/>
      <c r="TOF34" s="713"/>
      <c r="TOG34" s="713"/>
      <c r="TOH34" s="713"/>
      <c r="TOI34" s="713"/>
      <c r="TOJ34" s="713"/>
      <c r="TOK34" s="713"/>
      <c r="TOL34" s="713"/>
      <c r="TOM34" s="713"/>
      <c r="TON34" s="713"/>
      <c r="TOO34" s="713"/>
      <c r="TOP34" s="713"/>
      <c r="TOQ34" s="713"/>
      <c r="TOR34" s="713"/>
      <c r="TOS34" s="713"/>
      <c r="TOT34" s="713"/>
      <c r="TOU34" s="713"/>
      <c r="TOV34" s="713"/>
      <c r="TOW34" s="713"/>
      <c r="TOX34" s="713"/>
      <c r="TOY34" s="713"/>
      <c r="TOZ34" s="713"/>
      <c r="TPA34" s="713"/>
      <c r="TPB34" s="713"/>
      <c r="TPC34" s="713"/>
      <c r="TPD34" s="713"/>
      <c r="TPE34" s="713"/>
      <c r="TPF34" s="713"/>
      <c r="TPG34" s="713"/>
      <c r="TPH34" s="713"/>
      <c r="TPI34" s="713"/>
      <c r="TPJ34" s="713"/>
      <c r="TPK34" s="713"/>
      <c r="TPL34" s="713"/>
      <c r="TPM34" s="713"/>
      <c r="TPN34" s="713"/>
      <c r="TPO34" s="713"/>
      <c r="TPP34" s="713"/>
      <c r="TPQ34" s="713"/>
      <c r="TPR34" s="713"/>
      <c r="TPS34" s="713"/>
      <c r="TPT34" s="713"/>
      <c r="TPU34" s="713"/>
      <c r="TPV34" s="713"/>
      <c r="TPW34" s="713"/>
      <c r="TPX34" s="713"/>
      <c r="TPY34" s="713"/>
      <c r="TPZ34" s="713"/>
      <c r="TQA34" s="713"/>
      <c r="TQB34" s="713"/>
      <c r="TQC34" s="713"/>
      <c r="TQD34" s="713"/>
      <c r="TQE34" s="713"/>
      <c r="TQF34" s="713"/>
      <c r="TQG34" s="713"/>
      <c r="TQH34" s="713"/>
      <c r="TQI34" s="713"/>
      <c r="TQJ34" s="713"/>
      <c r="TQK34" s="713"/>
      <c r="TQL34" s="713"/>
      <c r="TQM34" s="713"/>
      <c r="TQN34" s="713"/>
      <c r="TQO34" s="713"/>
      <c r="TQP34" s="713"/>
      <c r="TQQ34" s="713"/>
      <c r="TQR34" s="713"/>
      <c r="TQS34" s="713"/>
      <c r="TQT34" s="713"/>
      <c r="TQU34" s="713"/>
      <c r="TQV34" s="713"/>
      <c r="TQW34" s="713"/>
      <c r="TQX34" s="713"/>
      <c r="TQY34" s="713"/>
      <c r="TQZ34" s="713"/>
      <c r="TRA34" s="713"/>
      <c r="TRB34" s="713"/>
      <c r="TRC34" s="713"/>
      <c r="TRD34" s="713"/>
      <c r="TRE34" s="713"/>
      <c r="TRF34" s="713"/>
      <c r="TRG34" s="713"/>
      <c r="TRH34" s="713"/>
      <c r="TRI34" s="713"/>
      <c r="TRJ34" s="713"/>
      <c r="TRK34" s="713"/>
      <c r="TRL34" s="713"/>
      <c r="TRM34" s="713"/>
      <c r="TRN34" s="713"/>
      <c r="TRO34" s="713"/>
      <c r="TRP34" s="713"/>
      <c r="TRQ34" s="713"/>
      <c r="TRR34" s="713"/>
      <c r="TRS34" s="713"/>
      <c r="TRT34" s="713"/>
      <c r="TRU34" s="713"/>
      <c r="TRV34" s="713"/>
      <c r="TRW34" s="713"/>
      <c r="TRX34" s="713"/>
      <c r="TRY34" s="713"/>
      <c r="TRZ34" s="713"/>
      <c r="TSA34" s="713"/>
      <c r="TSB34" s="713"/>
      <c r="TSC34" s="713"/>
      <c r="TSD34" s="713"/>
      <c r="TSE34" s="713"/>
      <c r="TSF34" s="713"/>
      <c r="TSG34" s="713"/>
      <c r="TSH34" s="713"/>
      <c r="TSI34" s="713"/>
      <c r="TSJ34" s="713"/>
      <c r="TSK34" s="713"/>
      <c r="TSL34" s="713"/>
      <c r="TSM34" s="713"/>
      <c r="TSN34" s="713"/>
      <c r="TSO34" s="713"/>
      <c r="TSP34" s="713"/>
      <c r="TSQ34" s="713"/>
      <c r="TSR34" s="713"/>
      <c r="TSS34" s="713"/>
      <c r="TST34" s="713"/>
      <c r="TSU34" s="713"/>
      <c r="TSV34" s="713"/>
      <c r="TSW34" s="713"/>
      <c r="TSX34" s="713"/>
      <c r="TSY34" s="713"/>
      <c r="TSZ34" s="713"/>
      <c r="TTA34" s="713"/>
      <c r="TTB34" s="713"/>
      <c r="TTC34" s="713"/>
      <c r="TTD34" s="713"/>
      <c r="TTE34" s="713"/>
      <c r="TTF34" s="713"/>
      <c r="TTG34" s="713"/>
      <c r="TTH34" s="713"/>
      <c r="TTI34" s="713"/>
      <c r="TTJ34" s="713"/>
      <c r="TTK34" s="713"/>
      <c r="TTL34" s="713"/>
      <c r="TTM34" s="713"/>
      <c r="TTN34" s="713"/>
      <c r="TTO34" s="713"/>
      <c r="TTP34" s="713"/>
      <c r="TTQ34" s="713"/>
      <c r="TTR34" s="713"/>
      <c r="TTS34" s="713"/>
      <c r="TTT34" s="713"/>
      <c r="TTU34" s="713"/>
      <c r="TTV34" s="713"/>
      <c r="TTW34" s="713"/>
      <c r="TTX34" s="713"/>
      <c r="TTY34" s="713"/>
      <c r="TTZ34" s="713"/>
      <c r="TUA34" s="713"/>
      <c r="TUB34" s="713"/>
      <c r="TUC34" s="713"/>
      <c r="TUD34" s="713"/>
      <c r="TUE34" s="713"/>
      <c r="TUF34" s="713"/>
      <c r="TUG34" s="713"/>
      <c r="TUH34" s="713"/>
      <c r="TUI34" s="713"/>
      <c r="TUJ34" s="713"/>
      <c r="TUK34" s="713"/>
      <c r="TUL34" s="713"/>
      <c r="TUM34" s="713"/>
      <c r="TUN34" s="713"/>
      <c r="TUO34" s="713"/>
      <c r="TUP34" s="713"/>
      <c r="TUQ34" s="713"/>
      <c r="TUR34" s="713"/>
      <c r="TUS34" s="713"/>
      <c r="TUT34" s="713"/>
      <c r="TUU34" s="713"/>
      <c r="TUV34" s="713"/>
      <c r="TUW34" s="713"/>
      <c r="TUX34" s="713"/>
      <c r="TUY34" s="713"/>
      <c r="TUZ34" s="713"/>
      <c r="TVA34" s="713"/>
      <c r="TVB34" s="713"/>
      <c r="TVC34" s="713"/>
      <c r="TVD34" s="713"/>
      <c r="TVE34" s="713"/>
      <c r="TVF34" s="713"/>
      <c r="TVG34" s="713"/>
      <c r="TVH34" s="713"/>
      <c r="TVI34" s="713"/>
      <c r="TVJ34" s="713"/>
      <c r="TVK34" s="713"/>
      <c r="TVL34" s="713"/>
      <c r="TVM34" s="713"/>
      <c r="TVN34" s="713"/>
      <c r="TVO34" s="713"/>
      <c r="TVP34" s="713"/>
      <c r="TVQ34" s="713"/>
      <c r="TVR34" s="713"/>
      <c r="TVS34" s="713"/>
      <c r="TVT34" s="713"/>
      <c r="TVU34" s="713"/>
      <c r="TVV34" s="713"/>
      <c r="TVW34" s="713"/>
      <c r="TVX34" s="713"/>
      <c r="TVY34" s="713"/>
      <c r="TVZ34" s="713"/>
      <c r="TWA34" s="713"/>
      <c r="TWB34" s="713"/>
      <c r="TWC34" s="713"/>
      <c r="TWD34" s="713"/>
      <c r="TWE34" s="713"/>
      <c r="TWF34" s="713"/>
      <c r="TWG34" s="713"/>
      <c r="TWH34" s="713"/>
      <c r="TWI34" s="713"/>
      <c r="TWJ34" s="713"/>
      <c r="TWK34" s="713"/>
      <c r="TWL34" s="713"/>
      <c r="TWM34" s="713"/>
      <c r="TWN34" s="713"/>
      <c r="TWO34" s="713"/>
      <c r="TWP34" s="713"/>
      <c r="TWQ34" s="713"/>
      <c r="TWR34" s="713"/>
      <c r="TWS34" s="713"/>
      <c r="TWT34" s="713"/>
      <c r="TWU34" s="713"/>
      <c r="TWV34" s="713"/>
      <c r="TWW34" s="713"/>
      <c r="TWX34" s="713"/>
      <c r="TWY34" s="713"/>
      <c r="TWZ34" s="713"/>
      <c r="TXA34" s="713"/>
      <c r="TXB34" s="713"/>
      <c r="TXC34" s="713"/>
      <c r="TXD34" s="713"/>
      <c r="TXE34" s="713"/>
      <c r="TXF34" s="713"/>
      <c r="TXG34" s="713"/>
      <c r="TXH34" s="713"/>
      <c r="TXI34" s="713"/>
      <c r="TXJ34" s="713"/>
      <c r="TXK34" s="713"/>
      <c r="TXL34" s="713"/>
      <c r="TXM34" s="713"/>
      <c r="TXN34" s="713"/>
      <c r="TXO34" s="713"/>
      <c r="TXP34" s="713"/>
      <c r="TXQ34" s="713"/>
      <c r="TXR34" s="713"/>
      <c r="TXS34" s="713"/>
      <c r="TXT34" s="713"/>
      <c r="TXU34" s="713"/>
      <c r="TXV34" s="713"/>
      <c r="TXW34" s="713"/>
      <c r="TXX34" s="713"/>
      <c r="TXY34" s="713"/>
      <c r="TXZ34" s="713"/>
      <c r="TYA34" s="713"/>
      <c r="TYB34" s="713"/>
      <c r="TYC34" s="713"/>
      <c r="TYD34" s="713"/>
      <c r="TYE34" s="713"/>
      <c r="TYF34" s="713"/>
      <c r="TYG34" s="713"/>
      <c r="TYH34" s="713"/>
      <c r="TYI34" s="713"/>
      <c r="TYJ34" s="713"/>
      <c r="TYK34" s="713"/>
      <c r="TYL34" s="713"/>
      <c r="TYM34" s="713"/>
      <c r="TYN34" s="713"/>
      <c r="TYO34" s="713"/>
      <c r="TYP34" s="713"/>
      <c r="TYQ34" s="713"/>
      <c r="TYR34" s="713"/>
      <c r="TYS34" s="713"/>
      <c r="TYT34" s="713"/>
      <c r="TYU34" s="713"/>
      <c r="TYV34" s="713"/>
      <c r="TYW34" s="713"/>
      <c r="TYX34" s="713"/>
      <c r="TYY34" s="713"/>
      <c r="TYZ34" s="713"/>
      <c r="TZA34" s="713"/>
      <c r="TZB34" s="713"/>
      <c r="TZC34" s="713"/>
      <c r="TZD34" s="713"/>
      <c r="TZE34" s="713"/>
      <c r="TZF34" s="713"/>
      <c r="TZG34" s="713"/>
      <c r="TZH34" s="713"/>
      <c r="TZI34" s="713"/>
      <c r="TZJ34" s="713"/>
      <c r="TZK34" s="713"/>
      <c r="TZL34" s="713"/>
      <c r="TZM34" s="713"/>
      <c r="TZN34" s="713"/>
      <c r="TZO34" s="713"/>
      <c r="TZP34" s="713"/>
      <c r="TZQ34" s="713"/>
      <c r="TZR34" s="713"/>
      <c r="TZS34" s="713"/>
      <c r="TZT34" s="713"/>
      <c r="TZU34" s="713"/>
      <c r="TZV34" s="713"/>
      <c r="TZW34" s="713"/>
      <c r="TZX34" s="713"/>
      <c r="TZY34" s="713"/>
      <c r="TZZ34" s="713"/>
      <c r="UAA34" s="713"/>
      <c r="UAB34" s="713"/>
      <c r="UAC34" s="713"/>
      <c r="UAD34" s="713"/>
      <c r="UAE34" s="713"/>
      <c r="UAF34" s="713"/>
      <c r="UAG34" s="713"/>
      <c r="UAH34" s="713"/>
      <c r="UAI34" s="713"/>
      <c r="UAJ34" s="713"/>
      <c r="UAK34" s="713"/>
      <c r="UAL34" s="713"/>
      <c r="UAM34" s="713"/>
      <c r="UAN34" s="713"/>
      <c r="UAO34" s="713"/>
      <c r="UAP34" s="713"/>
      <c r="UAQ34" s="713"/>
      <c r="UAR34" s="713"/>
      <c r="UAS34" s="713"/>
      <c r="UAT34" s="713"/>
      <c r="UAU34" s="713"/>
      <c r="UAV34" s="713"/>
      <c r="UAW34" s="713"/>
      <c r="UAX34" s="713"/>
      <c r="UAY34" s="713"/>
      <c r="UAZ34" s="713"/>
      <c r="UBA34" s="713"/>
      <c r="UBB34" s="713"/>
      <c r="UBC34" s="713"/>
      <c r="UBD34" s="713"/>
      <c r="UBE34" s="713"/>
      <c r="UBF34" s="713"/>
      <c r="UBG34" s="713"/>
      <c r="UBH34" s="713"/>
      <c r="UBI34" s="713"/>
      <c r="UBJ34" s="713"/>
      <c r="UBK34" s="713"/>
      <c r="UBL34" s="713"/>
      <c r="UBM34" s="713"/>
      <c r="UBN34" s="713"/>
      <c r="UBO34" s="713"/>
      <c r="UBP34" s="713"/>
      <c r="UBQ34" s="713"/>
      <c r="UBR34" s="713"/>
      <c r="UBS34" s="713"/>
      <c r="UBT34" s="713"/>
      <c r="UBU34" s="713"/>
      <c r="UBV34" s="713"/>
      <c r="UBW34" s="713"/>
      <c r="UBX34" s="713"/>
      <c r="UBY34" s="713"/>
      <c r="UBZ34" s="713"/>
      <c r="UCA34" s="713"/>
      <c r="UCB34" s="713"/>
      <c r="UCC34" s="713"/>
      <c r="UCD34" s="713"/>
      <c r="UCE34" s="713"/>
      <c r="UCF34" s="713"/>
      <c r="UCG34" s="713"/>
      <c r="UCH34" s="713"/>
      <c r="UCI34" s="713"/>
      <c r="UCJ34" s="713"/>
      <c r="UCK34" s="713"/>
      <c r="UCL34" s="713"/>
      <c r="UCM34" s="713"/>
      <c r="UCN34" s="713"/>
      <c r="UCO34" s="713"/>
      <c r="UCP34" s="713"/>
      <c r="UCQ34" s="713"/>
      <c r="UCR34" s="713"/>
      <c r="UCS34" s="713"/>
      <c r="UCT34" s="713"/>
      <c r="UCU34" s="713"/>
      <c r="UCV34" s="713"/>
      <c r="UCW34" s="713"/>
      <c r="UCX34" s="713"/>
      <c r="UCY34" s="713"/>
      <c r="UCZ34" s="713"/>
      <c r="UDA34" s="713"/>
      <c r="UDB34" s="713"/>
      <c r="UDC34" s="713"/>
      <c r="UDD34" s="713"/>
      <c r="UDE34" s="713"/>
      <c r="UDF34" s="713"/>
      <c r="UDG34" s="713"/>
      <c r="UDH34" s="713"/>
      <c r="UDI34" s="713"/>
      <c r="UDJ34" s="713"/>
      <c r="UDK34" s="713"/>
      <c r="UDL34" s="713"/>
      <c r="UDM34" s="713"/>
      <c r="UDN34" s="713"/>
      <c r="UDO34" s="713"/>
      <c r="UDP34" s="713"/>
      <c r="UDQ34" s="713"/>
      <c r="UDR34" s="713"/>
      <c r="UDS34" s="713"/>
      <c r="UDT34" s="713"/>
      <c r="UDU34" s="713"/>
      <c r="UDV34" s="713"/>
      <c r="UDW34" s="713"/>
      <c r="UDX34" s="713"/>
      <c r="UDY34" s="713"/>
      <c r="UDZ34" s="713"/>
      <c r="UEA34" s="713"/>
      <c r="UEB34" s="713"/>
      <c r="UEC34" s="713"/>
      <c r="UED34" s="713"/>
      <c r="UEE34" s="713"/>
      <c r="UEF34" s="713"/>
      <c r="UEG34" s="713"/>
      <c r="UEH34" s="713"/>
      <c r="UEI34" s="713"/>
      <c r="UEJ34" s="713"/>
      <c r="UEK34" s="713"/>
      <c r="UEL34" s="713"/>
      <c r="UEM34" s="713"/>
      <c r="UEN34" s="713"/>
      <c r="UEO34" s="713"/>
      <c r="UEP34" s="713"/>
      <c r="UEQ34" s="713"/>
      <c r="UER34" s="713"/>
      <c r="UES34" s="713"/>
      <c r="UET34" s="713"/>
      <c r="UEU34" s="713"/>
      <c r="UEV34" s="713"/>
      <c r="UEW34" s="713"/>
      <c r="UEX34" s="713"/>
      <c r="UEY34" s="713"/>
      <c r="UEZ34" s="713"/>
      <c r="UFA34" s="713"/>
      <c r="UFB34" s="713"/>
      <c r="UFC34" s="713"/>
      <c r="UFD34" s="713"/>
      <c r="UFE34" s="713"/>
      <c r="UFF34" s="713"/>
      <c r="UFG34" s="713"/>
      <c r="UFH34" s="713"/>
      <c r="UFI34" s="713"/>
      <c r="UFJ34" s="713"/>
      <c r="UFK34" s="713"/>
      <c r="UFL34" s="713"/>
      <c r="UFM34" s="713"/>
      <c r="UFN34" s="713"/>
      <c r="UFO34" s="713"/>
      <c r="UFP34" s="713"/>
      <c r="UFQ34" s="713"/>
      <c r="UFR34" s="713"/>
      <c r="UFS34" s="713"/>
      <c r="UFT34" s="713"/>
      <c r="UFU34" s="713"/>
      <c r="UFV34" s="713"/>
      <c r="UFW34" s="713"/>
      <c r="UFX34" s="713"/>
      <c r="UFY34" s="713"/>
      <c r="UFZ34" s="713"/>
      <c r="UGA34" s="713"/>
      <c r="UGB34" s="713"/>
      <c r="UGC34" s="713"/>
      <c r="UGD34" s="713"/>
      <c r="UGE34" s="713"/>
      <c r="UGF34" s="713"/>
      <c r="UGG34" s="713"/>
      <c r="UGH34" s="713"/>
      <c r="UGI34" s="713"/>
      <c r="UGJ34" s="713"/>
      <c r="UGK34" s="713"/>
      <c r="UGL34" s="713"/>
      <c r="UGM34" s="713"/>
      <c r="UGN34" s="713"/>
      <c r="UGO34" s="713"/>
      <c r="UGP34" s="713"/>
      <c r="UGQ34" s="713"/>
      <c r="UGR34" s="713"/>
      <c r="UGS34" s="713"/>
      <c r="UGT34" s="713"/>
      <c r="UGU34" s="713"/>
      <c r="UGV34" s="713"/>
      <c r="UGW34" s="713"/>
      <c r="UGX34" s="713"/>
      <c r="UGY34" s="713"/>
      <c r="UGZ34" s="713"/>
      <c r="UHA34" s="713"/>
      <c r="UHB34" s="713"/>
      <c r="UHC34" s="713"/>
      <c r="UHD34" s="713"/>
      <c r="UHE34" s="713"/>
      <c r="UHF34" s="713"/>
      <c r="UHG34" s="713"/>
      <c r="UHH34" s="713"/>
      <c r="UHI34" s="713"/>
      <c r="UHJ34" s="713"/>
      <c r="UHK34" s="713"/>
      <c r="UHL34" s="713"/>
      <c r="UHM34" s="713"/>
      <c r="UHN34" s="713"/>
      <c r="UHO34" s="713"/>
      <c r="UHP34" s="713"/>
      <c r="UHQ34" s="713"/>
      <c r="UHR34" s="713"/>
      <c r="UHS34" s="713"/>
      <c r="UHT34" s="713"/>
      <c r="UHU34" s="713"/>
      <c r="UHV34" s="713"/>
      <c r="UHW34" s="713"/>
      <c r="UHX34" s="713"/>
      <c r="UHY34" s="713"/>
      <c r="UHZ34" s="713"/>
      <c r="UIA34" s="713"/>
      <c r="UIB34" s="713"/>
      <c r="UIC34" s="713"/>
      <c r="UID34" s="713"/>
      <c r="UIE34" s="713"/>
      <c r="UIF34" s="713"/>
      <c r="UIG34" s="713"/>
      <c r="UIH34" s="713"/>
      <c r="UII34" s="713"/>
      <c r="UIJ34" s="713"/>
      <c r="UIK34" s="713"/>
      <c r="UIL34" s="713"/>
      <c r="UIM34" s="713"/>
      <c r="UIN34" s="713"/>
      <c r="UIO34" s="713"/>
      <c r="UIP34" s="713"/>
      <c r="UIQ34" s="713"/>
      <c r="UIR34" s="713"/>
      <c r="UIS34" s="713"/>
      <c r="UIT34" s="713"/>
      <c r="UIU34" s="713"/>
      <c r="UIV34" s="713"/>
      <c r="UIW34" s="713"/>
      <c r="UIX34" s="713"/>
      <c r="UIY34" s="713"/>
      <c r="UIZ34" s="713"/>
      <c r="UJA34" s="713"/>
      <c r="UJB34" s="713"/>
      <c r="UJC34" s="713"/>
      <c r="UJD34" s="713"/>
      <c r="UJE34" s="713"/>
      <c r="UJF34" s="713"/>
      <c r="UJG34" s="713"/>
      <c r="UJH34" s="713"/>
      <c r="UJI34" s="713"/>
      <c r="UJJ34" s="713"/>
      <c r="UJK34" s="713"/>
      <c r="UJL34" s="713"/>
      <c r="UJM34" s="713"/>
      <c r="UJN34" s="713"/>
      <c r="UJO34" s="713"/>
      <c r="UJP34" s="713"/>
      <c r="UJQ34" s="713"/>
      <c r="UJR34" s="713"/>
      <c r="UJS34" s="713"/>
      <c r="UJT34" s="713"/>
      <c r="UJU34" s="713"/>
      <c r="UJV34" s="713"/>
      <c r="UJW34" s="713"/>
      <c r="UJX34" s="713"/>
      <c r="UJY34" s="713"/>
      <c r="UJZ34" s="713"/>
      <c r="UKA34" s="713"/>
      <c r="UKB34" s="713"/>
      <c r="UKC34" s="713"/>
      <c r="UKD34" s="713"/>
      <c r="UKE34" s="713"/>
      <c r="UKF34" s="713"/>
      <c r="UKG34" s="713"/>
      <c r="UKH34" s="713"/>
      <c r="UKI34" s="713"/>
      <c r="UKJ34" s="713"/>
      <c r="UKK34" s="713"/>
      <c r="UKL34" s="713"/>
      <c r="UKM34" s="713"/>
      <c r="UKN34" s="713"/>
      <c r="UKO34" s="713"/>
      <c r="UKP34" s="713"/>
      <c r="UKQ34" s="713"/>
      <c r="UKR34" s="713"/>
      <c r="UKS34" s="713"/>
      <c r="UKT34" s="713"/>
      <c r="UKU34" s="713"/>
      <c r="UKV34" s="713"/>
      <c r="UKW34" s="713"/>
      <c r="UKX34" s="713"/>
      <c r="UKY34" s="713"/>
      <c r="UKZ34" s="713"/>
      <c r="ULA34" s="713"/>
      <c r="ULB34" s="713"/>
      <c r="ULC34" s="713"/>
      <c r="ULD34" s="713"/>
      <c r="ULE34" s="713"/>
      <c r="ULF34" s="713"/>
      <c r="ULG34" s="713"/>
      <c r="ULH34" s="713"/>
      <c r="ULI34" s="713"/>
      <c r="ULJ34" s="713"/>
      <c r="ULK34" s="713"/>
      <c r="ULL34" s="713"/>
      <c r="ULM34" s="713"/>
      <c r="ULN34" s="713"/>
      <c r="ULO34" s="713"/>
      <c r="ULP34" s="713"/>
      <c r="ULQ34" s="713"/>
      <c r="ULR34" s="713"/>
      <c r="ULS34" s="713"/>
      <c r="ULT34" s="713"/>
      <c r="ULU34" s="713"/>
      <c r="ULV34" s="713"/>
      <c r="ULW34" s="713"/>
      <c r="ULX34" s="713"/>
      <c r="ULY34" s="713"/>
      <c r="ULZ34" s="713"/>
      <c r="UMA34" s="713"/>
      <c r="UMB34" s="713"/>
      <c r="UMC34" s="713"/>
      <c r="UMD34" s="713"/>
      <c r="UME34" s="713"/>
      <c r="UMF34" s="713"/>
      <c r="UMG34" s="713"/>
      <c r="UMH34" s="713"/>
      <c r="UMI34" s="713"/>
      <c r="UMJ34" s="713"/>
      <c r="UMK34" s="713"/>
      <c r="UML34" s="713"/>
      <c r="UMM34" s="713"/>
      <c r="UMN34" s="713"/>
      <c r="UMO34" s="713"/>
      <c r="UMP34" s="713"/>
      <c r="UMQ34" s="713"/>
      <c r="UMR34" s="713"/>
      <c r="UMS34" s="713"/>
      <c r="UMT34" s="713"/>
      <c r="UMU34" s="713"/>
      <c r="UMV34" s="713"/>
      <c r="UMW34" s="713"/>
      <c r="UMX34" s="713"/>
      <c r="UMY34" s="713"/>
      <c r="UMZ34" s="713"/>
      <c r="UNA34" s="713"/>
      <c r="UNB34" s="713"/>
      <c r="UNC34" s="713"/>
      <c r="UND34" s="713"/>
      <c r="UNE34" s="713"/>
      <c r="UNF34" s="713"/>
      <c r="UNG34" s="713"/>
      <c r="UNH34" s="713"/>
      <c r="UNI34" s="713"/>
      <c r="UNJ34" s="713"/>
      <c r="UNK34" s="713"/>
      <c r="UNL34" s="713"/>
      <c r="UNM34" s="713"/>
      <c r="UNN34" s="713"/>
      <c r="UNO34" s="713"/>
      <c r="UNP34" s="713"/>
      <c r="UNQ34" s="713"/>
      <c r="UNR34" s="713"/>
      <c r="UNS34" s="713"/>
      <c r="UNT34" s="713"/>
      <c r="UNU34" s="713"/>
      <c r="UNV34" s="713"/>
      <c r="UNW34" s="713"/>
      <c r="UNX34" s="713"/>
      <c r="UNY34" s="713"/>
      <c r="UNZ34" s="713"/>
      <c r="UOA34" s="713"/>
      <c r="UOB34" s="713"/>
      <c r="UOC34" s="713"/>
      <c r="UOD34" s="713"/>
      <c r="UOE34" s="713"/>
      <c r="UOF34" s="713"/>
      <c r="UOG34" s="713"/>
      <c r="UOH34" s="713"/>
      <c r="UOI34" s="713"/>
      <c r="UOJ34" s="713"/>
      <c r="UOK34" s="713"/>
      <c r="UOL34" s="713"/>
      <c r="UOM34" s="713"/>
      <c r="UON34" s="713"/>
      <c r="UOO34" s="713"/>
      <c r="UOP34" s="713"/>
      <c r="UOQ34" s="713"/>
      <c r="UOR34" s="713"/>
      <c r="UOS34" s="713"/>
      <c r="UOT34" s="713"/>
      <c r="UOU34" s="713"/>
      <c r="UOV34" s="713"/>
      <c r="UOW34" s="713"/>
      <c r="UOX34" s="713"/>
      <c r="UOY34" s="713"/>
      <c r="UOZ34" s="713"/>
      <c r="UPA34" s="713"/>
      <c r="UPB34" s="713"/>
      <c r="UPC34" s="713"/>
      <c r="UPD34" s="713"/>
      <c r="UPE34" s="713"/>
      <c r="UPF34" s="713"/>
      <c r="UPG34" s="713"/>
      <c r="UPH34" s="713"/>
      <c r="UPI34" s="713"/>
      <c r="UPJ34" s="713"/>
      <c r="UPK34" s="713"/>
      <c r="UPL34" s="713"/>
      <c r="UPM34" s="713"/>
      <c r="UPN34" s="713"/>
      <c r="UPO34" s="713"/>
      <c r="UPP34" s="713"/>
      <c r="UPQ34" s="713"/>
      <c r="UPR34" s="713"/>
      <c r="UPS34" s="713"/>
      <c r="UPT34" s="713"/>
      <c r="UPU34" s="713"/>
      <c r="UPV34" s="713"/>
      <c r="UPW34" s="713"/>
      <c r="UPX34" s="713"/>
      <c r="UPY34" s="713"/>
      <c r="UPZ34" s="713"/>
      <c r="UQA34" s="713"/>
      <c r="UQB34" s="713"/>
      <c r="UQC34" s="713"/>
      <c r="UQD34" s="713"/>
      <c r="UQE34" s="713"/>
      <c r="UQF34" s="713"/>
      <c r="UQG34" s="713"/>
      <c r="UQH34" s="713"/>
      <c r="UQI34" s="713"/>
      <c r="UQJ34" s="713"/>
      <c r="UQK34" s="713"/>
      <c r="UQL34" s="713"/>
      <c r="UQM34" s="713"/>
      <c r="UQN34" s="713"/>
      <c r="UQO34" s="713"/>
      <c r="UQP34" s="713"/>
      <c r="UQQ34" s="713"/>
      <c r="UQR34" s="713"/>
      <c r="UQS34" s="713"/>
      <c r="UQT34" s="713"/>
      <c r="UQU34" s="713"/>
      <c r="UQV34" s="713"/>
      <c r="UQW34" s="713"/>
      <c r="UQX34" s="713"/>
      <c r="UQY34" s="713"/>
      <c r="UQZ34" s="713"/>
      <c r="URA34" s="713"/>
      <c r="URB34" s="713"/>
      <c r="URC34" s="713"/>
      <c r="URD34" s="713"/>
      <c r="URE34" s="713"/>
      <c r="URF34" s="713"/>
      <c r="URG34" s="713"/>
      <c r="URH34" s="713"/>
      <c r="URI34" s="713"/>
      <c r="URJ34" s="713"/>
      <c r="URK34" s="713"/>
      <c r="URL34" s="713"/>
      <c r="URM34" s="713"/>
      <c r="URN34" s="713"/>
      <c r="URO34" s="713"/>
      <c r="URP34" s="713"/>
      <c r="URQ34" s="713"/>
      <c r="URR34" s="713"/>
      <c r="URS34" s="713"/>
      <c r="URT34" s="713"/>
      <c r="URU34" s="713"/>
      <c r="URV34" s="713"/>
      <c r="URW34" s="713"/>
      <c r="URX34" s="713"/>
      <c r="URY34" s="713"/>
      <c r="URZ34" s="713"/>
      <c r="USA34" s="713"/>
      <c r="USB34" s="713"/>
      <c r="USC34" s="713"/>
      <c r="USD34" s="713"/>
      <c r="USE34" s="713"/>
      <c r="USF34" s="713"/>
      <c r="USG34" s="713"/>
      <c r="USH34" s="713"/>
      <c r="USI34" s="713"/>
      <c r="USJ34" s="713"/>
      <c r="USK34" s="713"/>
      <c r="USL34" s="713"/>
      <c r="USM34" s="713"/>
      <c r="USN34" s="713"/>
      <c r="USO34" s="713"/>
      <c r="USP34" s="713"/>
      <c r="USQ34" s="713"/>
      <c r="USR34" s="713"/>
      <c r="USS34" s="713"/>
      <c r="UST34" s="713"/>
      <c r="USU34" s="713"/>
      <c r="USV34" s="713"/>
      <c r="USW34" s="713"/>
      <c r="USX34" s="713"/>
      <c r="USY34" s="713"/>
      <c r="USZ34" s="713"/>
      <c r="UTA34" s="713"/>
      <c r="UTB34" s="713"/>
      <c r="UTC34" s="713"/>
      <c r="UTD34" s="713"/>
      <c r="UTE34" s="713"/>
      <c r="UTF34" s="713"/>
      <c r="UTG34" s="713"/>
      <c r="UTH34" s="713"/>
      <c r="UTI34" s="713"/>
      <c r="UTJ34" s="713"/>
      <c r="UTK34" s="713"/>
      <c r="UTL34" s="713"/>
      <c r="UTM34" s="713"/>
      <c r="UTN34" s="713"/>
      <c r="UTO34" s="713"/>
      <c r="UTP34" s="713"/>
      <c r="UTQ34" s="713"/>
      <c r="UTR34" s="713"/>
      <c r="UTS34" s="713"/>
      <c r="UTT34" s="713"/>
      <c r="UTU34" s="713"/>
      <c r="UTV34" s="713"/>
      <c r="UTW34" s="713"/>
      <c r="UTX34" s="713"/>
      <c r="UTY34" s="713"/>
      <c r="UTZ34" s="713"/>
      <c r="UUA34" s="713"/>
      <c r="UUB34" s="713"/>
      <c r="UUC34" s="713"/>
      <c r="UUD34" s="713"/>
      <c r="UUE34" s="713"/>
      <c r="UUF34" s="713"/>
      <c r="UUG34" s="713"/>
      <c r="UUH34" s="713"/>
      <c r="UUI34" s="713"/>
      <c r="UUJ34" s="713"/>
      <c r="UUK34" s="713"/>
      <c r="UUL34" s="713"/>
      <c r="UUM34" s="713"/>
      <c r="UUN34" s="713"/>
      <c r="UUO34" s="713"/>
      <c r="UUP34" s="713"/>
      <c r="UUQ34" s="713"/>
      <c r="UUR34" s="713"/>
      <c r="UUS34" s="713"/>
      <c r="UUT34" s="713"/>
      <c r="UUU34" s="713"/>
      <c r="UUV34" s="713"/>
      <c r="UUW34" s="713"/>
      <c r="UUX34" s="713"/>
      <c r="UUY34" s="713"/>
      <c r="UUZ34" s="713"/>
      <c r="UVA34" s="713"/>
      <c r="UVB34" s="713"/>
      <c r="UVC34" s="713"/>
      <c r="UVD34" s="713"/>
      <c r="UVE34" s="713"/>
      <c r="UVF34" s="713"/>
      <c r="UVG34" s="713"/>
      <c r="UVH34" s="713"/>
      <c r="UVI34" s="713"/>
      <c r="UVJ34" s="713"/>
      <c r="UVK34" s="713"/>
      <c r="UVL34" s="713"/>
      <c r="UVM34" s="713"/>
      <c r="UVN34" s="713"/>
      <c r="UVO34" s="713"/>
      <c r="UVP34" s="713"/>
      <c r="UVQ34" s="713"/>
      <c r="UVR34" s="713"/>
      <c r="UVS34" s="713"/>
      <c r="UVT34" s="713"/>
      <c r="UVU34" s="713"/>
      <c r="UVV34" s="713"/>
      <c r="UVW34" s="713"/>
      <c r="UVX34" s="713"/>
      <c r="UVY34" s="713"/>
      <c r="UVZ34" s="713"/>
      <c r="UWA34" s="713"/>
      <c r="UWB34" s="713"/>
      <c r="UWC34" s="713"/>
      <c r="UWD34" s="713"/>
      <c r="UWE34" s="713"/>
      <c r="UWF34" s="713"/>
      <c r="UWG34" s="713"/>
      <c r="UWH34" s="713"/>
      <c r="UWI34" s="713"/>
      <c r="UWJ34" s="713"/>
      <c r="UWK34" s="713"/>
      <c r="UWL34" s="713"/>
      <c r="UWM34" s="713"/>
      <c r="UWN34" s="713"/>
      <c r="UWO34" s="713"/>
      <c r="UWP34" s="713"/>
      <c r="UWQ34" s="713"/>
      <c r="UWR34" s="713"/>
      <c r="UWS34" s="713"/>
      <c r="UWT34" s="713"/>
      <c r="UWU34" s="713"/>
      <c r="UWV34" s="713"/>
      <c r="UWW34" s="713"/>
      <c r="UWX34" s="713"/>
      <c r="UWY34" s="713"/>
      <c r="UWZ34" s="713"/>
      <c r="UXA34" s="713"/>
      <c r="UXB34" s="713"/>
      <c r="UXC34" s="713"/>
      <c r="UXD34" s="713"/>
      <c r="UXE34" s="713"/>
      <c r="UXF34" s="713"/>
      <c r="UXG34" s="713"/>
      <c r="UXH34" s="713"/>
      <c r="UXI34" s="713"/>
      <c r="UXJ34" s="713"/>
      <c r="UXK34" s="713"/>
      <c r="UXL34" s="713"/>
      <c r="UXM34" s="713"/>
      <c r="UXN34" s="713"/>
      <c r="UXO34" s="713"/>
      <c r="UXP34" s="713"/>
      <c r="UXQ34" s="713"/>
      <c r="UXR34" s="713"/>
      <c r="UXS34" s="713"/>
      <c r="UXT34" s="713"/>
      <c r="UXU34" s="713"/>
      <c r="UXV34" s="713"/>
      <c r="UXW34" s="713"/>
      <c r="UXX34" s="713"/>
      <c r="UXY34" s="713"/>
      <c r="UXZ34" s="713"/>
      <c r="UYA34" s="713"/>
      <c r="UYB34" s="713"/>
      <c r="UYC34" s="713"/>
      <c r="UYD34" s="713"/>
      <c r="UYE34" s="713"/>
      <c r="UYF34" s="713"/>
      <c r="UYG34" s="713"/>
      <c r="UYH34" s="713"/>
      <c r="UYI34" s="713"/>
      <c r="UYJ34" s="713"/>
      <c r="UYK34" s="713"/>
      <c r="UYL34" s="713"/>
      <c r="UYM34" s="713"/>
      <c r="UYN34" s="713"/>
      <c r="UYO34" s="713"/>
      <c r="UYP34" s="713"/>
      <c r="UYQ34" s="713"/>
      <c r="UYR34" s="713"/>
      <c r="UYS34" s="713"/>
      <c r="UYT34" s="713"/>
      <c r="UYU34" s="713"/>
      <c r="UYV34" s="713"/>
      <c r="UYW34" s="713"/>
      <c r="UYX34" s="713"/>
      <c r="UYY34" s="713"/>
      <c r="UYZ34" s="713"/>
      <c r="UZA34" s="713"/>
      <c r="UZB34" s="713"/>
      <c r="UZC34" s="713"/>
      <c r="UZD34" s="713"/>
      <c r="UZE34" s="713"/>
      <c r="UZF34" s="713"/>
      <c r="UZG34" s="713"/>
      <c r="UZH34" s="713"/>
      <c r="UZI34" s="713"/>
      <c r="UZJ34" s="713"/>
      <c r="UZK34" s="713"/>
      <c r="UZL34" s="713"/>
      <c r="UZM34" s="713"/>
      <c r="UZN34" s="713"/>
      <c r="UZO34" s="713"/>
      <c r="UZP34" s="713"/>
      <c r="UZQ34" s="713"/>
      <c r="UZR34" s="713"/>
      <c r="UZS34" s="713"/>
      <c r="UZT34" s="713"/>
      <c r="UZU34" s="713"/>
      <c r="UZV34" s="713"/>
      <c r="UZW34" s="713"/>
      <c r="UZX34" s="713"/>
      <c r="UZY34" s="713"/>
      <c r="UZZ34" s="713"/>
      <c r="VAA34" s="713"/>
      <c r="VAB34" s="713"/>
      <c r="VAC34" s="713"/>
      <c r="VAD34" s="713"/>
      <c r="VAE34" s="713"/>
      <c r="VAF34" s="713"/>
      <c r="VAG34" s="713"/>
      <c r="VAH34" s="713"/>
      <c r="VAI34" s="713"/>
      <c r="VAJ34" s="713"/>
      <c r="VAK34" s="713"/>
      <c r="VAL34" s="713"/>
      <c r="VAM34" s="713"/>
      <c r="VAN34" s="713"/>
      <c r="VAO34" s="713"/>
      <c r="VAP34" s="713"/>
      <c r="VAQ34" s="713"/>
      <c r="VAR34" s="713"/>
      <c r="VAS34" s="713"/>
      <c r="VAT34" s="713"/>
      <c r="VAU34" s="713"/>
      <c r="VAV34" s="713"/>
      <c r="VAW34" s="713"/>
      <c r="VAX34" s="713"/>
      <c r="VAY34" s="713"/>
      <c r="VAZ34" s="713"/>
      <c r="VBA34" s="713"/>
      <c r="VBB34" s="713"/>
      <c r="VBC34" s="713"/>
      <c r="VBD34" s="713"/>
      <c r="VBE34" s="713"/>
      <c r="VBF34" s="713"/>
      <c r="VBG34" s="713"/>
      <c r="VBH34" s="713"/>
      <c r="VBI34" s="713"/>
      <c r="VBJ34" s="713"/>
      <c r="VBK34" s="713"/>
      <c r="VBL34" s="713"/>
      <c r="VBM34" s="713"/>
      <c r="VBN34" s="713"/>
      <c r="VBO34" s="713"/>
      <c r="VBP34" s="713"/>
      <c r="VBQ34" s="713"/>
      <c r="VBR34" s="713"/>
      <c r="VBS34" s="713"/>
      <c r="VBT34" s="713"/>
      <c r="VBU34" s="713"/>
      <c r="VBV34" s="713"/>
      <c r="VBW34" s="713"/>
      <c r="VBX34" s="713"/>
      <c r="VBY34" s="713"/>
      <c r="VBZ34" s="713"/>
      <c r="VCA34" s="713"/>
      <c r="VCB34" s="713"/>
      <c r="VCC34" s="713"/>
      <c r="VCD34" s="713"/>
      <c r="VCE34" s="713"/>
      <c r="VCF34" s="713"/>
      <c r="VCG34" s="713"/>
      <c r="VCH34" s="713"/>
      <c r="VCI34" s="713"/>
      <c r="VCJ34" s="713"/>
      <c r="VCK34" s="713"/>
      <c r="VCL34" s="713"/>
      <c r="VCM34" s="713"/>
      <c r="VCN34" s="713"/>
      <c r="VCO34" s="713"/>
      <c r="VCP34" s="713"/>
      <c r="VCQ34" s="713"/>
      <c r="VCR34" s="713"/>
      <c r="VCS34" s="713"/>
      <c r="VCT34" s="713"/>
      <c r="VCU34" s="713"/>
      <c r="VCV34" s="713"/>
      <c r="VCW34" s="713"/>
      <c r="VCX34" s="713"/>
      <c r="VCY34" s="713"/>
      <c r="VCZ34" s="713"/>
      <c r="VDA34" s="713"/>
      <c r="VDB34" s="713"/>
      <c r="VDC34" s="713"/>
      <c r="VDD34" s="713"/>
      <c r="VDE34" s="713"/>
      <c r="VDF34" s="713"/>
      <c r="VDG34" s="713"/>
      <c r="VDH34" s="713"/>
      <c r="VDI34" s="713"/>
      <c r="VDJ34" s="713"/>
      <c r="VDK34" s="713"/>
      <c r="VDL34" s="713"/>
      <c r="VDM34" s="713"/>
      <c r="VDN34" s="713"/>
      <c r="VDO34" s="713"/>
      <c r="VDP34" s="713"/>
      <c r="VDQ34" s="713"/>
      <c r="VDR34" s="713"/>
      <c r="VDS34" s="713"/>
      <c r="VDT34" s="713"/>
      <c r="VDU34" s="713"/>
      <c r="VDV34" s="713"/>
      <c r="VDW34" s="713"/>
      <c r="VDX34" s="713"/>
      <c r="VDY34" s="713"/>
      <c r="VDZ34" s="713"/>
      <c r="VEA34" s="713"/>
      <c r="VEB34" s="713"/>
      <c r="VEC34" s="713"/>
      <c r="VED34" s="713"/>
      <c r="VEE34" s="713"/>
      <c r="VEF34" s="713"/>
      <c r="VEG34" s="713"/>
      <c r="VEH34" s="713"/>
      <c r="VEI34" s="713"/>
      <c r="VEJ34" s="713"/>
      <c r="VEK34" s="713"/>
      <c r="VEL34" s="713"/>
      <c r="VEM34" s="713"/>
      <c r="VEN34" s="713"/>
      <c r="VEO34" s="713"/>
      <c r="VEP34" s="713"/>
      <c r="VEQ34" s="713"/>
      <c r="VER34" s="713"/>
      <c r="VES34" s="713"/>
      <c r="VET34" s="713"/>
      <c r="VEU34" s="713"/>
      <c r="VEV34" s="713"/>
      <c r="VEW34" s="713"/>
      <c r="VEX34" s="713"/>
      <c r="VEY34" s="713"/>
      <c r="VEZ34" s="713"/>
      <c r="VFA34" s="713"/>
      <c r="VFB34" s="713"/>
      <c r="VFC34" s="713"/>
      <c r="VFD34" s="713"/>
      <c r="VFE34" s="713"/>
      <c r="VFF34" s="713"/>
      <c r="VFG34" s="713"/>
      <c r="VFH34" s="713"/>
      <c r="VFI34" s="713"/>
      <c r="VFJ34" s="713"/>
      <c r="VFK34" s="713"/>
      <c r="VFL34" s="713"/>
      <c r="VFM34" s="713"/>
      <c r="VFN34" s="713"/>
      <c r="VFO34" s="713"/>
      <c r="VFP34" s="713"/>
      <c r="VFQ34" s="713"/>
      <c r="VFR34" s="713"/>
      <c r="VFS34" s="713"/>
      <c r="VFT34" s="713"/>
      <c r="VFU34" s="713"/>
      <c r="VFV34" s="713"/>
      <c r="VFW34" s="713"/>
      <c r="VFX34" s="713"/>
      <c r="VFY34" s="713"/>
      <c r="VFZ34" s="713"/>
      <c r="VGA34" s="713"/>
      <c r="VGB34" s="713"/>
      <c r="VGC34" s="713"/>
      <c r="VGD34" s="713"/>
      <c r="VGE34" s="713"/>
      <c r="VGF34" s="713"/>
      <c r="VGG34" s="713"/>
      <c r="VGH34" s="713"/>
      <c r="VGI34" s="713"/>
      <c r="VGJ34" s="713"/>
      <c r="VGK34" s="713"/>
      <c r="VGL34" s="713"/>
      <c r="VGM34" s="713"/>
      <c r="VGN34" s="713"/>
      <c r="VGO34" s="713"/>
      <c r="VGP34" s="713"/>
      <c r="VGQ34" s="713"/>
      <c r="VGR34" s="713"/>
      <c r="VGS34" s="713"/>
      <c r="VGT34" s="713"/>
      <c r="VGU34" s="713"/>
      <c r="VGV34" s="713"/>
      <c r="VGW34" s="713"/>
      <c r="VGX34" s="713"/>
      <c r="VGY34" s="713"/>
      <c r="VGZ34" s="713"/>
      <c r="VHA34" s="713"/>
      <c r="VHB34" s="713"/>
      <c r="VHC34" s="713"/>
      <c r="VHD34" s="713"/>
      <c r="VHE34" s="713"/>
      <c r="VHF34" s="713"/>
      <c r="VHG34" s="713"/>
      <c r="VHH34" s="713"/>
      <c r="VHI34" s="713"/>
      <c r="VHJ34" s="713"/>
      <c r="VHK34" s="713"/>
      <c r="VHL34" s="713"/>
      <c r="VHM34" s="713"/>
      <c r="VHN34" s="713"/>
      <c r="VHO34" s="713"/>
      <c r="VHP34" s="713"/>
      <c r="VHQ34" s="713"/>
      <c r="VHR34" s="713"/>
      <c r="VHS34" s="713"/>
      <c r="VHT34" s="713"/>
      <c r="VHU34" s="713"/>
      <c r="VHV34" s="713"/>
      <c r="VHW34" s="713"/>
      <c r="VHX34" s="713"/>
      <c r="VHY34" s="713"/>
      <c r="VHZ34" s="713"/>
      <c r="VIA34" s="713"/>
      <c r="VIB34" s="713"/>
      <c r="VIC34" s="713"/>
      <c r="VID34" s="713"/>
      <c r="VIE34" s="713"/>
      <c r="VIF34" s="713"/>
      <c r="VIG34" s="713"/>
      <c r="VIH34" s="713"/>
      <c r="VII34" s="713"/>
      <c r="VIJ34" s="713"/>
      <c r="VIK34" s="713"/>
      <c r="VIL34" s="713"/>
      <c r="VIM34" s="713"/>
      <c r="VIN34" s="713"/>
      <c r="VIO34" s="713"/>
      <c r="VIP34" s="713"/>
      <c r="VIQ34" s="713"/>
      <c r="VIR34" s="713"/>
      <c r="VIS34" s="713"/>
      <c r="VIT34" s="713"/>
      <c r="VIU34" s="713"/>
      <c r="VIV34" s="713"/>
      <c r="VIW34" s="713"/>
      <c r="VIX34" s="713"/>
      <c r="VIY34" s="713"/>
      <c r="VIZ34" s="713"/>
      <c r="VJA34" s="713"/>
      <c r="VJB34" s="713"/>
      <c r="VJC34" s="713"/>
      <c r="VJD34" s="713"/>
      <c r="VJE34" s="713"/>
      <c r="VJF34" s="713"/>
      <c r="VJG34" s="713"/>
      <c r="VJH34" s="713"/>
      <c r="VJI34" s="713"/>
      <c r="VJJ34" s="713"/>
      <c r="VJK34" s="713"/>
      <c r="VJL34" s="713"/>
      <c r="VJM34" s="713"/>
      <c r="VJN34" s="713"/>
      <c r="VJO34" s="713"/>
      <c r="VJP34" s="713"/>
      <c r="VJQ34" s="713"/>
      <c r="VJR34" s="713"/>
      <c r="VJS34" s="713"/>
      <c r="VJT34" s="713"/>
      <c r="VJU34" s="713"/>
      <c r="VJV34" s="713"/>
      <c r="VJW34" s="713"/>
      <c r="VJX34" s="713"/>
      <c r="VJY34" s="713"/>
      <c r="VJZ34" s="713"/>
      <c r="VKA34" s="713"/>
      <c r="VKB34" s="713"/>
      <c r="VKC34" s="713"/>
      <c r="VKD34" s="713"/>
      <c r="VKE34" s="713"/>
      <c r="VKF34" s="713"/>
      <c r="VKG34" s="713"/>
      <c r="VKH34" s="713"/>
      <c r="VKI34" s="713"/>
      <c r="VKJ34" s="713"/>
      <c r="VKK34" s="713"/>
      <c r="VKL34" s="713"/>
      <c r="VKM34" s="713"/>
      <c r="VKN34" s="713"/>
      <c r="VKO34" s="713"/>
      <c r="VKP34" s="713"/>
      <c r="VKQ34" s="713"/>
      <c r="VKR34" s="713"/>
      <c r="VKS34" s="713"/>
      <c r="VKT34" s="713"/>
      <c r="VKU34" s="713"/>
      <c r="VKV34" s="713"/>
      <c r="VKW34" s="713"/>
      <c r="VKX34" s="713"/>
      <c r="VKY34" s="713"/>
      <c r="VKZ34" s="713"/>
      <c r="VLA34" s="713"/>
      <c r="VLB34" s="713"/>
      <c r="VLC34" s="713"/>
      <c r="VLD34" s="713"/>
      <c r="VLE34" s="713"/>
      <c r="VLF34" s="713"/>
      <c r="VLG34" s="713"/>
      <c r="VLH34" s="713"/>
      <c r="VLI34" s="713"/>
      <c r="VLJ34" s="713"/>
      <c r="VLK34" s="713"/>
      <c r="VLL34" s="713"/>
      <c r="VLM34" s="713"/>
      <c r="VLN34" s="713"/>
      <c r="VLO34" s="713"/>
      <c r="VLP34" s="713"/>
      <c r="VLQ34" s="713"/>
      <c r="VLR34" s="713"/>
      <c r="VLS34" s="713"/>
      <c r="VLT34" s="713"/>
      <c r="VLU34" s="713"/>
      <c r="VLV34" s="713"/>
      <c r="VLW34" s="713"/>
      <c r="VLX34" s="713"/>
      <c r="VLY34" s="713"/>
      <c r="VLZ34" s="713"/>
      <c r="VMA34" s="713"/>
      <c r="VMB34" s="713"/>
      <c r="VMC34" s="713"/>
      <c r="VMD34" s="713"/>
      <c r="VME34" s="713"/>
      <c r="VMF34" s="713"/>
      <c r="VMG34" s="713"/>
      <c r="VMH34" s="713"/>
      <c r="VMI34" s="713"/>
      <c r="VMJ34" s="713"/>
      <c r="VMK34" s="713"/>
      <c r="VML34" s="713"/>
      <c r="VMM34" s="713"/>
      <c r="VMN34" s="713"/>
      <c r="VMO34" s="713"/>
      <c r="VMP34" s="713"/>
      <c r="VMQ34" s="713"/>
      <c r="VMR34" s="713"/>
      <c r="VMS34" s="713"/>
      <c r="VMT34" s="713"/>
      <c r="VMU34" s="713"/>
      <c r="VMV34" s="713"/>
      <c r="VMW34" s="713"/>
      <c r="VMX34" s="713"/>
      <c r="VMY34" s="713"/>
      <c r="VMZ34" s="713"/>
      <c r="VNA34" s="713"/>
      <c r="VNB34" s="713"/>
      <c r="VNC34" s="713"/>
      <c r="VND34" s="713"/>
      <c r="VNE34" s="713"/>
      <c r="VNF34" s="713"/>
      <c r="VNG34" s="713"/>
      <c r="VNH34" s="713"/>
      <c r="VNI34" s="713"/>
      <c r="VNJ34" s="713"/>
      <c r="VNK34" s="713"/>
      <c r="VNL34" s="713"/>
      <c r="VNM34" s="713"/>
      <c r="VNN34" s="713"/>
      <c r="VNO34" s="713"/>
      <c r="VNP34" s="713"/>
      <c r="VNQ34" s="713"/>
      <c r="VNR34" s="713"/>
      <c r="VNS34" s="713"/>
      <c r="VNT34" s="713"/>
      <c r="VNU34" s="713"/>
      <c r="VNV34" s="713"/>
      <c r="VNW34" s="713"/>
      <c r="VNX34" s="713"/>
      <c r="VNY34" s="713"/>
      <c r="VNZ34" s="713"/>
      <c r="VOA34" s="713"/>
      <c r="VOB34" s="713"/>
      <c r="VOC34" s="713"/>
      <c r="VOD34" s="713"/>
      <c r="VOE34" s="713"/>
      <c r="VOF34" s="713"/>
      <c r="VOG34" s="713"/>
      <c r="VOH34" s="713"/>
      <c r="VOI34" s="713"/>
      <c r="VOJ34" s="713"/>
      <c r="VOK34" s="713"/>
      <c r="VOL34" s="713"/>
      <c r="VOM34" s="713"/>
      <c r="VON34" s="713"/>
      <c r="VOO34" s="713"/>
      <c r="VOP34" s="713"/>
      <c r="VOQ34" s="713"/>
      <c r="VOR34" s="713"/>
      <c r="VOS34" s="713"/>
      <c r="VOT34" s="713"/>
      <c r="VOU34" s="713"/>
      <c r="VOV34" s="713"/>
      <c r="VOW34" s="713"/>
      <c r="VOX34" s="713"/>
      <c r="VOY34" s="713"/>
      <c r="VOZ34" s="713"/>
      <c r="VPA34" s="713"/>
      <c r="VPB34" s="713"/>
      <c r="VPC34" s="713"/>
      <c r="VPD34" s="713"/>
      <c r="VPE34" s="713"/>
      <c r="VPF34" s="713"/>
      <c r="VPG34" s="713"/>
      <c r="VPH34" s="713"/>
      <c r="VPI34" s="713"/>
      <c r="VPJ34" s="713"/>
      <c r="VPK34" s="713"/>
      <c r="VPL34" s="713"/>
      <c r="VPM34" s="713"/>
      <c r="VPN34" s="713"/>
      <c r="VPO34" s="713"/>
      <c r="VPP34" s="713"/>
      <c r="VPQ34" s="713"/>
      <c r="VPR34" s="713"/>
      <c r="VPS34" s="713"/>
      <c r="VPT34" s="713"/>
      <c r="VPU34" s="713"/>
      <c r="VPV34" s="713"/>
      <c r="VPW34" s="713"/>
      <c r="VPX34" s="713"/>
      <c r="VPY34" s="713"/>
      <c r="VPZ34" s="713"/>
      <c r="VQA34" s="713"/>
      <c r="VQB34" s="713"/>
      <c r="VQC34" s="713"/>
      <c r="VQD34" s="713"/>
      <c r="VQE34" s="713"/>
      <c r="VQF34" s="713"/>
      <c r="VQG34" s="713"/>
      <c r="VQH34" s="713"/>
      <c r="VQI34" s="713"/>
      <c r="VQJ34" s="713"/>
      <c r="VQK34" s="713"/>
      <c r="VQL34" s="713"/>
      <c r="VQM34" s="713"/>
      <c r="VQN34" s="713"/>
      <c r="VQO34" s="713"/>
      <c r="VQP34" s="713"/>
      <c r="VQQ34" s="713"/>
      <c r="VQR34" s="713"/>
      <c r="VQS34" s="713"/>
      <c r="VQT34" s="713"/>
      <c r="VQU34" s="713"/>
      <c r="VQV34" s="713"/>
      <c r="VQW34" s="713"/>
      <c r="VQX34" s="713"/>
      <c r="VQY34" s="713"/>
      <c r="VQZ34" s="713"/>
      <c r="VRA34" s="713"/>
      <c r="VRB34" s="713"/>
      <c r="VRC34" s="713"/>
      <c r="VRD34" s="713"/>
      <c r="VRE34" s="713"/>
      <c r="VRF34" s="713"/>
      <c r="VRG34" s="713"/>
      <c r="VRH34" s="713"/>
      <c r="VRI34" s="713"/>
      <c r="VRJ34" s="713"/>
      <c r="VRK34" s="713"/>
      <c r="VRL34" s="713"/>
      <c r="VRM34" s="713"/>
      <c r="VRN34" s="713"/>
      <c r="VRO34" s="713"/>
      <c r="VRP34" s="713"/>
      <c r="VRQ34" s="713"/>
      <c r="VRR34" s="713"/>
      <c r="VRS34" s="713"/>
      <c r="VRT34" s="713"/>
      <c r="VRU34" s="713"/>
      <c r="VRV34" s="713"/>
      <c r="VRW34" s="713"/>
      <c r="VRX34" s="713"/>
      <c r="VRY34" s="713"/>
      <c r="VRZ34" s="713"/>
      <c r="VSA34" s="713"/>
      <c r="VSB34" s="713"/>
      <c r="VSC34" s="713"/>
      <c r="VSD34" s="713"/>
      <c r="VSE34" s="713"/>
      <c r="VSF34" s="713"/>
      <c r="VSG34" s="713"/>
      <c r="VSH34" s="713"/>
      <c r="VSI34" s="713"/>
      <c r="VSJ34" s="713"/>
      <c r="VSK34" s="713"/>
      <c r="VSL34" s="713"/>
      <c r="VSM34" s="713"/>
      <c r="VSN34" s="713"/>
      <c r="VSO34" s="713"/>
      <c r="VSP34" s="713"/>
      <c r="VSQ34" s="713"/>
      <c r="VSR34" s="713"/>
      <c r="VSS34" s="713"/>
      <c r="VST34" s="713"/>
      <c r="VSU34" s="713"/>
      <c r="VSV34" s="713"/>
      <c r="VSW34" s="713"/>
      <c r="VSX34" s="713"/>
      <c r="VSY34" s="713"/>
      <c r="VSZ34" s="713"/>
      <c r="VTA34" s="713"/>
      <c r="VTB34" s="713"/>
      <c r="VTC34" s="713"/>
      <c r="VTD34" s="713"/>
      <c r="VTE34" s="713"/>
      <c r="VTF34" s="713"/>
      <c r="VTG34" s="713"/>
      <c r="VTH34" s="713"/>
      <c r="VTI34" s="713"/>
      <c r="VTJ34" s="713"/>
      <c r="VTK34" s="713"/>
      <c r="VTL34" s="713"/>
      <c r="VTM34" s="713"/>
      <c r="VTN34" s="713"/>
      <c r="VTO34" s="713"/>
      <c r="VTP34" s="713"/>
      <c r="VTQ34" s="713"/>
      <c r="VTR34" s="713"/>
      <c r="VTS34" s="713"/>
      <c r="VTT34" s="713"/>
      <c r="VTU34" s="713"/>
      <c r="VTV34" s="713"/>
      <c r="VTW34" s="713"/>
      <c r="VTX34" s="713"/>
      <c r="VTY34" s="713"/>
      <c r="VTZ34" s="713"/>
      <c r="VUA34" s="713"/>
      <c r="VUB34" s="713"/>
      <c r="VUC34" s="713"/>
      <c r="VUD34" s="713"/>
      <c r="VUE34" s="713"/>
      <c r="VUF34" s="713"/>
      <c r="VUG34" s="713"/>
      <c r="VUH34" s="713"/>
      <c r="VUI34" s="713"/>
      <c r="VUJ34" s="713"/>
      <c r="VUK34" s="713"/>
      <c r="VUL34" s="713"/>
      <c r="VUM34" s="713"/>
      <c r="VUN34" s="713"/>
      <c r="VUO34" s="713"/>
      <c r="VUP34" s="713"/>
      <c r="VUQ34" s="713"/>
      <c r="VUR34" s="713"/>
      <c r="VUS34" s="713"/>
      <c r="VUT34" s="713"/>
      <c r="VUU34" s="713"/>
      <c r="VUV34" s="713"/>
      <c r="VUW34" s="713"/>
      <c r="VUX34" s="713"/>
      <c r="VUY34" s="713"/>
      <c r="VUZ34" s="713"/>
      <c r="VVA34" s="713"/>
      <c r="VVB34" s="713"/>
      <c r="VVC34" s="713"/>
      <c r="VVD34" s="713"/>
      <c r="VVE34" s="713"/>
      <c r="VVF34" s="713"/>
      <c r="VVG34" s="713"/>
      <c r="VVH34" s="713"/>
      <c r="VVI34" s="713"/>
      <c r="VVJ34" s="713"/>
      <c r="VVK34" s="713"/>
      <c r="VVL34" s="713"/>
      <c r="VVM34" s="713"/>
      <c r="VVN34" s="713"/>
      <c r="VVO34" s="713"/>
      <c r="VVP34" s="713"/>
      <c r="VVQ34" s="713"/>
      <c r="VVR34" s="713"/>
      <c r="VVS34" s="713"/>
      <c r="VVT34" s="713"/>
      <c r="VVU34" s="713"/>
      <c r="VVV34" s="713"/>
      <c r="VVW34" s="713"/>
      <c r="VVX34" s="713"/>
      <c r="VVY34" s="713"/>
      <c r="VVZ34" s="713"/>
      <c r="VWA34" s="713"/>
      <c r="VWB34" s="713"/>
      <c r="VWC34" s="713"/>
      <c r="VWD34" s="713"/>
      <c r="VWE34" s="713"/>
      <c r="VWF34" s="713"/>
      <c r="VWG34" s="713"/>
      <c r="VWH34" s="713"/>
      <c r="VWI34" s="713"/>
      <c r="VWJ34" s="713"/>
      <c r="VWK34" s="713"/>
      <c r="VWL34" s="713"/>
      <c r="VWM34" s="713"/>
      <c r="VWN34" s="713"/>
      <c r="VWO34" s="713"/>
      <c r="VWP34" s="713"/>
      <c r="VWQ34" s="713"/>
      <c r="VWR34" s="713"/>
      <c r="VWS34" s="713"/>
      <c r="VWT34" s="713"/>
      <c r="VWU34" s="713"/>
      <c r="VWV34" s="713"/>
      <c r="VWW34" s="713"/>
      <c r="VWX34" s="713"/>
      <c r="VWY34" s="713"/>
      <c r="VWZ34" s="713"/>
      <c r="VXA34" s="713"/>
      <c r="VXB34" s="713"/>
      <c r="VXC34" s="713"/>
      <c r="VXD34" s="713"/>
      <c r="VXE34" s="713"/>
      <c r="VXF34" s="713"/>
      <c r="VXG34" s="713"/>
      <c r="VXH34" s="713"/>
      <c r="VXI34" s="713"/>
      <c r="VXJ34" s="713"/>
      <c r="VXK34" s="713"/>
      <c r="VXL34" s="713"/>
      <c r="VXM34" s="713"/>
      <c r="VXN34" s="713"/>
      <c r="VXO34" s="713"/>
      <c r="VXP34" s="713"/>
      <c r="VXQ34" s="713"/>
      <c r="VXR34" s="713"/>
      <c r="VXS34" s="713"/>
      <c r="VXT34" s="713"/>
      <c r="VXU34" s="713"/>
      <c r="VXV34" s="713"/>
      <c r="VXW34" s="713"/>
      <c r="VXX34" s="713"/>
      <c r="VXY34" s="713"/>
      <c r="VXZ34" s="713"/>
      <c r="VYA34" s="713"/>
      <c r="VYB34" s="713"/>
      <c r="VYC34" s="713"/>
      <c r="VYD34" s="713"/>
      <c r="VYE34" s="713"/>
      <c r="VYF34" s="713"/>
      <c r="VYG34" s="713"/>
      <c r="VYH34" s="713"/>
      <c r="VYI34" s="713"/>
      <c r="VYJ34" s="713"/>
      <c r="VYK34" s="713"/>
      <c r="VYL34" s="713"/>
      <c r="VYM34" s="713"/>
      <c r="VYN34" s="713"/>
      <c r="VYO34" s="713"/>
      <c r="VYP34" s="713"/>
      <c r="VYQ34" s="713"/>
      <c r="VYR34" s="713"/>
      <c r="VYS34" s="713"/>
      <c r="VYT34" s="713"/>
      <c r="VYU34" s="713"/>
      <c r="VYV34" s="713"/>
      <c r="VYW34" s="713"/>
      <c r="VYX34" s="713"/>
      <c r="VYY34" s="713"/>
      <c r="VYZ34" s="713"/>
      <c r="VZA34" s="713"/>
      <c r="VZB34" s="713"/>
      <c r="VZC34" s="713"/>
      <c r="VZD34" s="713"/>
      <c r="VZE34" s="713"/>
      <c r="VZF34" s="713"/>
      <c r="VZG34" s="713"/>
      <c r="VZH34" s="713"/>
      <c r="VZI34" s="713"/>
      <c r="VZJ34" s="713"/>
      <c r="VZK34" s="713"/>
      <c r="VZL34" s="713"/>
      <c r="VZM34" s="713"/>
      <c r="VZN34" s="713"/>
      <c r="VZO34" s="713"/>
      <c r="VZP34" s="713"/>
      <c r="VZQ34" s="713"/>
      <c r="VZR34" s="713"/>
      <c r="VZS34" s="713"/>
      <c r="VZT34" s="713"/>
      <c r="VZU34" s="713"/>
      <c r="VZV34" s="713"/>
      <c r="VZW34" s="713"/>
      <c r="VZX34" s="713"/>
      <c r="VZY34" s="713"/>
      <c r="VZZ34" s="713"/>
      <c r="WAA34" s="713"/>
      <c r="WAB34" s="713"/>
      <c r="WAC34" s="713"/>
      <c r="WAD34" s="713"/>
      <c r="WAE34" s="713"/>
      <c r="WAF34" s="713"/>
      <c r="WAG34" s="713"/>
      <c r="WAH34" s="713"/>
      <c r="WAI34" s="713"/>
      <c r="WAJ34" s="713"/>
      <c r="WAK34" s="713"/>
      <c r="WAL34" s="713"/>
      <c r="WAM34" s="713"/>
      <c r="WAN34" s="713"/>
      <c r="WAO34" s="713"/>
      <c r="WAP34" s="713"/>
      <c r="WAQ34" s="713"/>
      <c r="WAR34" s="713"/>
      <c r="WAS34" s="713"/>
      <c r="WAT34" s="713"/>
      <c r="WAU34" s="713"/>
      <c r="WAV34" s="713"/>
      <c r="WAW34" s="713"/>
      <c r="WAX34" s="713"/>
      <c r="WAY34" s="713"/>
      <c r="WAZ34" s="713"/>
      <c r="WBA34" s="713"/>
      <c r="WBB34" s="713"/>
      <c r="WBC34" s="713"/>
      <c r="WBD34" s="713"/>
      <c r="WBE34" s="713"/>
      <c r="WBF34" s="713"/>
      <c r="WBG34" s="713"/>
      <c r="WBH34" s="713"/>
      <c r="WBI34" s="713"/>
      <c r="WBJ34" s="713"/>
      <c r="WBK34" s="713"/>
      <c r="WBL34" s="713"/>
      <c r="WBM34" s="713"/>
      <c r="WBN34" s="713"/>
      <c r="WBO34" s="713"/>
      <c r="WBP34" s="713"/>
      <c r="WBQ34" s="713"/>
      <c r="WBR34" s="713"/>
      <c r="WBS34" s="713"/>
      <c r="WBT34" s="713"/>
      <c r="WBU34" s="713"/>
      <c r="WBV34" s="713"/>
      <c r="WBW34" s="713"/>
      <c r="WBX34" s="713"/>
      <c r="WBY34" s="713"/>
      <c r="WBZ34" s="713"/>
      <c r="WCA34" s="713"/>
      <c r="WCB34" s="713"/>
      <c r="WCC34" s="713"/>
      <c r="WCD34" s="713"/>
      <c r="WCE34" s="713"/>
      <c r="WCF34" s="713"/>
      <c r="WCG34" s="713"/>
      <c r="WCH34" s="713"/>
      <c r="WCI34" s="713"/>
      <c r="WCJ34" s="713"/>
      <c r="WCK34" s="713"/>
      <c r="WCL34" s="713"/>
      <c r="WCM34" s="713"/>
      <c r="WCN34" s="713"/>
      <c r="WCO34" s="713"/>
      <c r="WCP34" s="713"/>
      <c r="WCQ34" s="713"/>
      <c r="WCR34" s="713"/>
      <c r="WCS34" s="713"/>
      <c r="WCT34" s="713"/>
      <c r="WCU34" s="713"/>
      <c r="WCV34" s="713"/>
      <c r="WCW34" s="713"/>
      <c r="WCX34" s="713"/>
      <c r="WCY34" s="713"/>
      <c r="WCZ34" s="713"/>
      <c r="WDA34" s="713"/>
      <c r="WDB34" s="713"/>
      <c r="WDC34" s="713"/>
      <c r="WDD34" s="713"/>
      <c r="WDE34" s="713"/>
      <c r="WDF34" s="713"/>
      <c r="WDG34" s="713"/>
      <c r="WDH34" s="713"/>
      <c r="WDI34" s="713"/>
      <c r="WDJ34" s="713"/>
      <c r="WDK34" s="713"/>
      <c r="WDL34" s="713"/>
      <c r="WDM34" s="713"/>
      <c r="WDN34" s="713"/>
      <c r="WDO34" s="713"/>
      <c r="WDP34" s="713"/>
      <c r="WDQ34" s="713"/>
      <c r="WDR34" s="713"/>
      <c r="WDS34" s="713"/>
      <c r="WDT34" s="713"/>
      <c r="WDU34" s="713"/>
      <c r="WDV34" s="713"/>
      <c r="WDW34" s="713"/>
      <c r="WDX34" s="713"/>
      <c r="WDY34" s="713"/>
      <c r="WDZ34" s="713"/>
      <c r="WEA34" s="713"/>
      <c r="WEB34" s="713"/>
      <c r="WEC34" s="713"/>
      <c r="WED34" s="713"/>
      <c r="WEE34" s="713"/>
      <c r="WEF34" s="713"/>
      <c r="WEG34" s="713"/>
      <c r="WEH34" s="713"/>
      <c r="WEI34" s="713"/>
      <c r="WEJ34" s="713"/>
      <c r="WEK34" s="713"/>
      <c r="WEL34" s="713"/>
      <c r="WEM34" s="713"/>
      <c r="WEN34" s="713"/>
      <c r="WEO34" s="713"/>
      <c r="WEP34" s="713"/>
      <c r="WEQ34" s="713"/>
      <c r="WER34" s="713"/>
      <c r="WES34" s="713"/>
      <c r="WET34" s="713"/>
      <c r="WEU34" s="713"/>
      <c r="WEV34" s="713"/>
      <c r="WEW34" s="713"/>
      <c r="WEX34" s="713"/>
      <c r="WEY34" s="713"/>
      <c r="WEZ34" s="713"/>
      <c r="WFA34" s="713"/>
      <c r="WFB34" s="713"/>
      <c r="WFC34" s="713"/>
      <c r="WFD34" s="713"/>
      <c r="WFE34" s="713"/>
      <c r="WFF34" s="713"/>
      <c r="WFG34" s="713"/>
      <c r="WFH34" s="713"/>
      <c r="WFI34" s="713"/>
      <c r="WFJ34" s="713"/>
      <c r="WFK34" s="713"/>
      <c r="WFL34" s="713"/>
      <c r="WFM34" s="713"/>
      <c r="WFN34" s="713"/>
      <c r="WFO34" s="713"/>
      <c r="WFP34" s="713"/>
      <c r="WFQ34" s="713"/>
      <c r="WFR34" s="713"/>
      <c r="WFS34" s="713"/>
      <c r="WFT34" s="713"/>
      <c r="WFU34" s="713"/>
      <c r="WFV34" s="713"/>
      <c r="WFW34" s="713"/>
      <c r="WFX34" s="713"/>
      <c r="WFY34" s="713"/>
      <c r="WFZ34" s="713"/>
      <c r="WGA34" s="713"/>
      <c r="WGB34" s="713"/>
      <c r="WGC34" s="713"/>
      <c r="WGD34" s="713"/>
      <c r="WGE34" s="713"/>
      <c r="WGF34" s="713"/>
      <c r="WGG34" s="713"/>
      <c r="WGH34" s="713"/>
      <c r="WGI34" s="713"/>
      <c r="WGJ34" s="713"/>
      <c r="WGK34" s="713"/>
      <c r="WGL34" s="713"/>
      <c r="WGM34" s="713"/>
      <c r="WGN34" s="713"/>
      <c r="WGO34" s="713"/>
      <c r="WGP34" s="713"/>
      <c r="WGQ34" s="713"/>
      <c r="WGR34" s="713"/>
      <c r="WGS34" s="713"/>
      <c r="WGT34" s="713"/>
      <c r="WGU34" s="713"/>
      <c r="WGV34" s="713"/>
      <c r="WGW34" s="713"/>
      <c r="WGX34" s="713"/>
      <c r="WGY34" s="713"/>
      <c r="WGZ34" s="713"/>
      <c r="WHA34" s="713"/>
      <c r="WHB34" s="713"/>
      <c r="WHC34" s="713"/>
      <c r="WHD34" s="713"/>
      <c r="WHE34" s="713"/>
      <c r="WHF34" s="713"/>
      <c r="WHG34" s="713"/>
      <c r="WHH34" s="713"/>
      <c r="WHI34" s="713"/>
      <c r="WHJ34" s="713"/>
      <c r="WHK34" s="713"/>
      <c r="WHL34" s="713"/>
      <c r="WHM34" s="713"/>
      <c r="WHN34" s="713"/>
      <c r="WHO34" s="713"/>
      <c r="WHP34" s="713"/>
      <c r="WHQ34" s="713"/>
      <c r="WHR34" s="713"/>
      <c r="WHS34" s="713"/>
      <c r="WHT34" s="713"/>
      <c r="WHU34" s="713"/>
      <c r="WHV34" s="713"/>
      <c r="WHW34" s="713"/>
      <c r="WHX34" s="713"/>
      <c r="WHY34" s="713"/>
      <c r="WHZ34" s="713"/>
      <c r="WIA34" s="713"/>
      <c r="WIB34" s="713"/>
      <c r="WIC34" s="713"/>
      <c r="WID34" s="713"/>
      <c r="WIE34" s="713"/>
      <c r="WIF34" s="713"/>
      <c r="WIG34" s="713"/>
      <c r="WIH34" s="713"/>
      <c r="WII34" s="713"/>
      <c r="WIJ34" s="713"/>
      <c r="WIK34" s="713"/>
      <c r="WIL34" s="713"/>
      <c r="WIM34" s="713"/>
      <c r="WIN34" s="713"/>
      <c r="WIO34" s="713"/>
      <c r="WIP34" s="713"/>
      <c r="WIQ34" s="713"/>
      <c r="WIR34" s="713"/>
      <c r="WIS34" s="713"/>
      <c r="WIT34" s="713"/>
      <c r="WIU34" s="713"/>
      <c r="WIV34" s="713"/>
      <c r="WIW34" s="713"/>
      <c r="WIX34" s="713"/>
      <c r="WIY34" s="713"/>
      <c r="WIZ34" s="713"/>
      <c r="WJA34" s="713"/>
      <c r="WJB34" s="713"/>
      <c r="WJC34" s="713"/>
      <c r="WJD34" s="713"/>
      <c r="WJE34" s="713"/>
      <c r="WJF34" s="713"/>
      <c r="WJG34" s="713"/>
      <c r="WJH34" s="713"/>
      <c r="WJI34" s="713"/>
      <c r="WJJ34" s="713"/>
      <c r="WJK34" s="713"/>
      <c r="WJL34" s="713"/>
      <c r="WJM34" s="713"/>
      <c r="WJN34" s="713"/>
      <c r="WJO34" s="713"/>
      <c r="WJP34" s="713"/>
      <c r="WJQ34" s="713"/>
      <c r="WJR34" s="713"/>
      <c r="WJS34" s="713"/>
      <c r="WJT34" s="713"/>
      <c r="WJU34" s="713"/>
      <c r="WJV34" s="713"/>
      <c r="WJW34" s="713"/>
      <c r="WJX34" s="713"/>
      <c r="WJY34" s="713"/>
      <c r="WJZ34" s="713"/>
      <c r="WKA34" s="713"/>
      <c r="WKB34" s="713"/>
      <c r="WKC34" s="713"/>
      <c r="WKD34" s="713"/>
      <c r="WKE34" s="713"/>
      <c r="WKF34" s="713"/>
      <c r="WKG34" s="713"/>
      <c r="WKH34" s="713"/>
      <c r="WKI34" s="713"/>
      <c r="WKJ34" s="713"/>
      <c r="WKK34" s="713"/>
      <c r="WKL34" s="713"/>
      <c r="WKM34" s="713"/>
      <c r="WKN34" s="713"/>
      <c r="WKO34" s="713"/>
      <c r="WKP34" s="713"/>
      <c r="WKQ34" s="713"/>
      <c r="WKR34" s="713"/>
      <c r="WKS34" s="713"/>
      <c r="WKT34" s="713"/>
      <c r="WKU34" s="713"/>
      <c r="WKV34" s="713"/>
      <c r="WKW34" s="713"/>
      <c r="WKX34" s="713"/>
      <c r="WKY34" s="713"/>
      <c r="WKZ34" s="713"/>
      <c r="WLA34" s="713"/>
      <c r="WLB34" s="713"/>
      <c r="WLC34" s="713"/>
      <c r="WLD34" s="713"/>
      <c r="WLE34" s="713"/>
      <c r="WLF34" s="713"/>
      <c r="WLG34" s="713"/>
      <c r="WLH34" s="713"/>
      <c r="WLI34" s="713"/>
      <c r="WLJ34" s="713"/>
      <c r="WLK34" s="713"/>
      <c r="WLL34" s="713"/>
      <c r="WLM34" s="713"/>
      <c r="WLN34" s="713"/>
      <c r="WLO34" s="713"/>
      <c r="WLP34" s="713"/>
      <c r="WLQ34" s="713"/>
      <c r="WLR34" s="713"/>
      <c r="WLS34" s="713"/>
      <c r="WLT34" s="713"/>
      <c r="WLU34" s="713"/>
      <c r="WLV34" s="713"/>
      <c r="WLW34" s="713"/>
      <c r="WLX34" s="713"/>
      <c r="WLY34" s="713"/>
      <c r="WLZ34" s="713"/>
      <c r="WMA34" s="713"/>
      <c r="WMB34" s="713"/>
      <c r="WMC34" s="713"/>
      <c r="WMD34" s="713"/>
      <c r="WME34" s="713"/>
      <c r="WMF34" s="713"/>
      <c r="WMG34" s="713"/>
      <c r="WMH34" s="713"/>
      <c r="WMI34" s="713"/>
      <c r="WMJ34" s="713"/>
      <c r="WMK34" s="713"/>
      <c r="WML34" s="713"/>
      <c r="WMM34" s="713"/>
      <c r="WMN34" s="713"/>
      <c r="WMO34" s="713"/>
      <c r="WMP34" s="713"/>
      <c r="WMQ34" s="713"/>
      <c r="WMR34" s="713"/>
      <c r="WMS34" s="713"/>
      <c r="WMT34" s="713"/>
      <c r="WMU34" s="713"/>
      <c r="WMV34" s="713"/>
      <c r="WMW34" s="713"/>
      <c r="WMX34" s="713"/>
      <c r="WMY34" s="713"/>
      <c r="WMZ34" s="713"/>
      <c r="WNA34" s="713"/>
      <c r="WNB34" s="713"/>
      <c r="WNC34" s="713"/>
      <c r="WND34" s="713"/>
      <c r="WNE34" s="713"/>
      <c r="WNF34" s="713"/>
      <c r="WNG34" s="713"/>
      <c r="WNH34" s="713"/>
      <c r="WNI34" s="713"/>
      <c r="WNJ34" s="713"/>
      <c r="WNK34" s="713"/>
      <c r="WNL34" s="713"/>
      <c r="WNM34" s="713"/>
      <c r="WNN34" s="713"/>
      <c r="WNO34" s="713"/>
      <c r="WNP34" s="713"/>
      <c r="WNQ34" s="713"/>
      <c r="WNR34" s="713"/>
      <c r="WNS34" s="713"/>
      <c r="WNT34" s="713"/>
      <c r="WNU34" s="713"/>
      <c r="WNV34" s="713"/>
      <c r="WNW34" s="713"/>
      <c r="WNX34" s="713"/>
      <c r="WNY34" s="713"/>
      <c r="WNZ34" s="713"/>
      <c r="WOA34" s="713"/>
      <c r="WOB34" s="713"/>
      <c r="WOC34" s="713"/>
      <c r="WOD34" s="713"/>
      <c r="WOE34" s="713"/>
      <c r="WOF34" s="713"/>
      <c r="WOG34" s="713"/>
      <c r="WOH34" s="713"/>
      <c r="WOI34" s="713"/>
      <c r="WOJ34" s="713"/>
      <c r="WOK34" s="713"/>
      <c r="WOL34" s="713"/>
      <c r="WOM34" s="713"/>
      <c r="WON34" s="713"/>
      <c r="WOO34" s="713"/>
      <c r="WOP34" s="713"/>
      <c r="WOQ34" s="713"/>
      <c r="WOR34" s="713"/>
      <c r="WOS34" s="713"/>
      <c r="WOT34" s="713"/>
      <c r="WOU34" s="713"/>
      <c r="WOV34" s="713"/>
      <c r="WOW34" s="713"/>
      <c r="WOX34" s="713"/>
      <c r="WOY34" s="713"/>
      <c r="WOZ34" s="713"/>
      <c r="WPA34" s="713"/>
      <c r="WPB34" s="713"/>
      <c r="WPC34" s="713"/>
      <c r="WPD34" s="713"/>
      <c r="WPE34" s="713"/>
      <c r="WPF34" s="713"/>
      <c r="WPG34" s="713"/>
      <c r="WPH34" s="713"/>
      <c r="WPI34" s="713"/>
      <c r="WPJ34" s="713"/>
      <c r="WPK34" s="713"/>
      <c r="WPL34" s="713"/>
      <c r="WPM34" s="713"/>
      <c r="WPN34" s="713"/>
      <c r="WPO34" s="713"/>
      <c r="WPP34" s="713"/>
      <c r="WPQ34" s="713"/>
      <c r="WPR34" s="713"/>
      <c r="WPS34" s="713"/>
      <c r="WPT34" s="713"/>
      <c r="WPU34" s="713"/>
      <c r="WPV34" s="713"/>
      <c r="WPW34" s="713"/>
      <c r="WPX34" s="713"/>
      <c r="WPY34" s="713"/>
      <c r="WPZ34" s="713"/>
      <c r="WQA34" s="713"/>
      <c r="WQB34" s="713"/>
      <c r="WQC34" s="713"/>
      <c r="WQD34" s="713"/>
      <c r="WQE34" s="713"/>
      <c r="WQF34" s="713"/>
      <c r="WQG34" s="713"/>
      <c r="WQH34" s="713"/>
      <c r="WQI34" s="713"/>
      <c r="WQJ34" s="713"/>
      <c r="WQK34" s="713"/>
      <c r="WQL34" s="713"/>
      <c r="WQM34" s="713"/>
      <c r="WQN34" s="713"/>
      <c r="WQO34" s="713"/>
      <c r="WQP34" s="713"/>
      <c r="WQQ34" s="713"/>
      <c r="WQR34" s="713"/>
      <c r="WQS34" s="713"/>
      <c r="WQT34" s="713"/>
      <c r="WQU34" s="713"/>
      <c r="WQV34" s="713"/>
      <c r="WQW34" s="713"/>
      <c r="WQX34" s="713"/>
      <c r="WQY34" s="713"/>
      <c r="WQZ34" s="713"/>
      <c r="WRA34" s="713"/>
      <c r="WRB34" s="713"/>
      <c r="WRC34" s="713"/>
      <c r="WRD34" s="713"/>
      <c r="WRE34" s="713"/>
      <c r="WRF34" s="713"/>
      <c r="WRG34" s="713"/>
      <c r="WRH34" s="713"/>
      <c r="WRI34" s="713"/>
      <c r="WRJ34" s="713"/>
      <c r="WRK34" s="713"/>
      <c r="WRL34" s="713"/>
      <c r="WRM34" s="713"/>
      <c r="WRN34" s="713"/>
      <c r="WRO34" s="713"/>
      <c r="WRP34" s="713"/>
      <c r="WRQ34" s="713"/>
      <c r="WRR34" s="713"/>
      <c r="WRS34" s="713"/>
      <c r="WRT34" s="713"/>
      <c r="WRU34" s="713"/>
      <c r="WRV34" s="713"/>
      <c r="WRW34" s="713"/>
      <c r="WRX34" s="713"/>
      <c r="WRY34" s="713"/>
      <c r="WRZ34" s="713"/>
      <c r="WSA34" s="713"/>
      <c r="WSB34" s="713"/>
      <c r="WSC34" s="713"/>
      <c r="WSD34" s="713"/>
      <c r="WSE34" s="713"/>
      <c r="WSF34" s="713"/>
      <c r="WSG34" s="713"/>
      <c r="WSH34" s="713"/>
      <c r="WSI34" s="713"/>
      <c r="WSJ34" s="713"/>
      <c r="WSK34" s="713"/>
      <c r="WSL34" s="713"/>
      <c r="WSM34" s="713"/>
      <c r="WSN34" s="713"/>
      <c r="WSO34" s="713"/>
      <c r="WSP34" s="713"/>
      <c r="WSQ34" s="713"/>
      <c r="WSR34" s="713"/>
      <c r="WSS34" s="713"/>
      <c r="WST34" s="713"/>
      <c r="WSU34" s="713"/>
      <c r="WSV34" s="713"/>
      <c r="WSW34" s="713"/>
      <c r="WSX34" s="713"/>
      <c r="WSY34" s="713"/>
      <c r="WSZ34" s="713"/>
      <c r="WTA34" s="713"/>
      <c r="WTB34" s="713"/>
      <c r="WTC34" s="713"/>
      <c r="WTD34" s="713"/>
      <c r="WTE34" s="713"/>
      <c r="WTF34" s="713"/>
      <c r="WTG34" s="713"/>
      <c r="WTH34" s="713"/>
      <c r="WTI34" s="713"/>
      <c r="WTJ34" s="713"/>
      <c r="WTK34" s="713"/>
      <c r="WTL34" s="713"/>
      <c r="WTM34" s="713"/>
      <c r="WTN34" s="713"/>
      <c r="WTO34" s="713"/>
      <c r="WTP34" s="713"/>
      <c r="WTQ34" s="713"/>
      <c r="WTR34" s="713"/>
      <c r="WTS34" s="713"/>
      <c r="WTT34" s="713"/>
      <c r="WTU34" s="713"/>
      <c r="WTV34" s="713"/>
      <c r="WTW34" s="713"/>
      <c r="WTX34" s="713"/>
      <c r="WTY34" s="713"/>
      <c r="WTZ34" s="713"/>
      <c r="WUA34" s="713"/>
      <c r="WUB34" s="713"/>
      <c r="WUC34" s="713"/>
      <c r="WUD34" s="713"/>
      <c r="WUE34" s="713"/>
      <c r="WUF34" s="713"/>
      <c r="WUG34" s="713"/>
      <c r="WUH34" s="713"/>
      <c r="WUI34" s="713"/>
      <c r="WUJ34" s="713"/>
      <c r="WUK34" s="713"/>
      <c r="WUL34" s="713"/>
      <c r="WUM34" s="713"/>
      <c r="WUN34" s="713"/>
      <c r="WUO34" s="713"/>
      <c r="WUP34" s="713"/>
      <c r="WUQ34" s="713"/>
      <c r="WUR34" s="713"/>
      <c r="WUS34" s="713"/>
      <c r="WUT34" s="713"/>
      <c r="WUU34" s="713"/>
      <c r="WUV34" s="713"/>
      <c r="WUW34" s="713"/>
      <c r="WUX34" s="713"/>
      <c r="WUY34" s="713"/>
      <c r="WUZ34" s="713"/>
      <c r="WVA34" s="713"/>
      <c r="WVB34" s="713"/>
      <c r="WVC34" s="713"/>
      <c r="WVD34" s="713"/>
      <c r="WVE34" s="713"/>
      <c r="WVF34" s="713"/>
      <c r="WVG34" s="713"/>
      <c r="WVH34" s="713"/>
      <c r="WVI34" s="713"/>
      <c r="WVJ34" s="713"/>
      <c r="WVK34" s="713"/>
      <c r="WVL34" s="713"/>
      <c r="WVM34" s="713"/>
      <c r="WVN34" s="713"/>
      <c r="WVO34" s="713"/>
      <c r="WVP34" s="713"/>
      <c r="WVQ34" s="713"/>
      <c r="WVR34" s="713"/>
      <c r="WVS34" s="713"/>
      <c r="WVT34" s="713"/>
      <c r="WVU34" s="713"/>
      <c r="WVV34" s="713"/>
      <c r="WVW34" s="713"/>
      <c r="WVX34" s="713"/>
      <c r="WVY34" s="713"/>
      <c r="WVZ34" s="713"/>
      <c r="WWA34" s="713"/>
      <c r="WWB34" s="713"/>
      <c r="WWC34" s="713"/>
      <c r="WWD34" s="713"/>
      <c r="WWE34" s="713"/>
      <c r="WWF34" s="713"/>
      <c r="WWG34" s="713"/>
      <c r="WWH34" s="713"/>
      <c r="WWI34" s="713"/>
      <c r="WWJ34" s="713"/>
      <c r="WWK34" s="713"/>
      <c r="WWL34" s="713"/>
      <c r="WWM34" s="713"/>
      <c r="WWN34" s="713"/>
      <c r="WWO34" s="713"/>
      <c r="WWP34" s="713"/>
      <c r="WWQ34" s="713"/>
      <c r="WWR34" s="713"/>
      <c r="WWS34" s="713"/>
      <c r="WWT34" s="713"/>
      <c r="WWU34" s="713"/>
      <c r="WWV34" s="713"/>
      <c r="WWW34" s="713"/>
      <c r="WWX34" s="713"/>
      <c r="WWY34" s="713"/>
      <c r="WWZ34" s="713"/>
      <c r="WXA34" s="713"/>
      <c r="WXB34" s="713"/>
      <c r="WXC34" s="713"/>
      <c r="WXD34" s="713"/>
      <c r="WXE34" s="713"/>
      <c r="WXF34" s="713"/>
      <c r="WXG34" s="713"/>
      <c r="WXH34" s="713"/>
      <c r="WXI34" s="713"/>
      <c r="WXJ34" s="713"/>
      <c r="WXK34" s="713"/>
      <c r="WXL34" s="713"/>
      <c r="WXM34" s="713"/>
      <c r="WXN34" s="713"/>
      <c r="WXO34" s="713"/>
      <c r="WXP34" s="713"/>
      <c r="WXQ34" s="713"/>
      <c r="WXR34" s="713"/>
      <c r="WXS34" s="713"/>
      <c r="WXT34" s="713"/>
      <c r="WXU34" s="713"/>
      <c r="WXV34" s="713"/>
      <c r="WXW34" s="713"/>
      <c r="WXX34" s="713"/>
      <c r="WXY34" s="713"/>
      <c r="WXZ34" s="713"/>
      <c r="WYA34" s="713"/>
      <c r="WYB34" s="713"/>
      <c r="WYC34" s="713"/>
      <c r="WYD34" s="713"/>
      <c r="WYE34" s="713"/>
      <c r="WYF34" s="713"/>
      <c r="WYG34" s="713"/>
      <c r="WYH34" s="713"/>
      <c r="WYI34" s="713"/>
      <c r="WYJ34" s="713"/>
      <c r="WYK34" s="713"/>
      <c r="WYL34" s="713"/>
      <c r="WYM34" s="713"/>
      <c r="WYN34" s="713"/>
      <c r="WYO34" s="713"/>
      <c r="WYP34" s="713"/>
      <c r="WYQ34" s="713"/>
      <c r="WYR34" s="713"/>
      <c r="WYS34" s="713"/>
      <c r="WYT34" s="713"/>
      <c r="WYU34" s="713"/>
      <c r="WYV34" s="713"/>
      <c r="WYW34" s="713"/>
      <c r="WYX34" s="713"/>
      <c r="WYY34" s="713"/>
      <c r="WYZ34" s="713"/>
      <c r="WZA34" s="713"/>
      <c r="WZB34" s="713"/>
      <c r="WZC34" s="713"/>
      <c r="WZD34" s="713"/>
      <c r="WZE34" s="713"/>
      <c r="WZF34" s="713"/>
      <c r="WZG34" s="713"/>
      <c r="WZH34" s="713"/>
      <c r="WZI34" s="713"/>
      <c r="WZJ34" s="713"/>
      <c r="WZK34" s="713"/>
      <c r="WZL34" s="713"/>
      <c r="WZM34" s="713"/>
      <c r="WZN34" s="713"/>
      <c r="WZO34" s="713"/>
      <c r="WZP34" s="713"/>
      <c r="WZQ34" s="713"/>
      <c r="WZR34" s="713"/>
      <c r="WZS34" s="713"/>
      <c r="WZT34" s="713"/>
      <c r="WZU34" s="713"/>
      <c r="WZV34" s="713"/>
      <c r="WZW34" s="713"/>
      <c r="WZX34" s="713"/>
      <c r="WZY34" s="713"/>
      <c r="WZZ34" s="713"/>
      <c r="XAA34" s="713"/>
      <c r="XAB34" s="713"/>
      <c r="XAC34" s="713"/>
      <c r="XAD34" s="713"/>
      <c r="XAE34" s="713"/>
      <c r="XAF34" s="713"/>
      <c r="XAG34" s="713"/>
      <c r="XAH34" s="713"/>
      <c r="XAI34" s="713"/>
      <c r="XAJ34" s="713"/>
      <c r="XAK34" s="713"/>
      <c r="XAL34" s="713"/>
      <c r="XAM34" s="713"/>
      <c r="XAN34" s="713"/>
      <c r="XAO34" s="713"/>
      <c r="XAP34" s="713"/>
      <c r="XAQ34" s="713"/>
      <c r="XAR34" s="713"/>
      <c r="XAS34" s="713"/>
      <c r="XAT34" s="713"/>
      <c r="XAU34" s="713"/>
      <c r="XAV34" s="713"/>
      <c r="XAW34" s="713"/>
      <c r="XAX34" s="713"/>
      <c r="XAY34" s="713"/>
      <c r="XAZ34" s="713"/>
      <c r="XBA34" s="713"/>
      <c r="XBB34" s="713"/>
      <c r="XBC34" s="713"/>
      <c r="XBD34" s="713"/>
      <c r="XBE34" s="713"/>
      <c r="XBF34" s="713"/>
      <c r="XBG34" s="713"/>
      <c r="XBH34" s="713"/>
      <c r="XBI34" s="713"/>
      <c r="XBJ34" s="713"/>
      <c r="XBK34" s="713"/>
      <c r="XBL34" s="713"/>
      <c r="XBM34" s="713"/>
      <c r="XBN34" s="713"/>
      <c r="XBO34" s="713"/>
      <c r="XBP34" s="713"/>
      <c r="XBQ34" s="713"/>
      <c r="XBR34" s="713"/>
      <c r="XBS34" s="713"/>
      <c r="XBT34" s="713"/>
      <c r="XBU34" s="713"/>
      <c r="XBV34" s="713"/>
      <c r="XBW34" s="713"/>
      <c r="XBX34" s="713"/>
      <c r="XBY34" s="713"/>
      <c r="XBZ34" s="713"/>
      <c r="XCA34" s="713"/>
      <c r="XCB34" s="713"/>
      <c r="XCC34" s="713"/>
      <c r="XCD34" s="713"/>
      <c r="XCE34" s="713"/>
      <c r="XCF34" s="713"/>
      <c r="XCG34" s="713"/>
      <c r="XCH34" s="713"/>
      <c r="XCI34" s="713"/>
      <c r="XCJ34" s="713"/>
      <c r="XCK34" s="713"/>
      <c r="XCL34" s="713"/>
      <c r="XCM34" s="713"/>
      <c r="XCN34" s="713"/>
      <c r="XCO34" s="713"/>
      <c r="XCP34" s="713"/>
      <c r="XCQ34" s="713"/>
      <c r="XCR34" s="713"/>
      <c r="XCS34" s="713"/>
      <c r="XCT34" s="713"/>
      <c r="XCU34" s="713"/>
      <c r="XCV34" s="713"/>
      <c r="XCW34" s="713"/>
      <c r="XCX34" s="713"/>
      <c r="XCY34" s="713"/>
      <c r="XCZ34" s="713"/>
      <c r="XDA34" s="713"/>
      <c r="XDB34" s="713"/>
      <c r="XDC34" s="713"/>
      <c r="XDD34" s="713"/>
      <c r="XDE34" s="713"/>
      <c r="XDF34" s="713"/>
      <c r="XDG34" s="713"/>
      <c r="XDH34" s="713"/>
      <c r="XDI34" s="713"/>
      <c r="XDJ34" s="713"/>
      <c r="XDK34" s="713"/>
      <c r="XDL34" s="713"/>
      <c r="XDM34" s="713"/>
      <c r="XDN34" s="713"/>
      <c r="XDO34" s="713"/>
      <c r="XDP34" s="713"/>
      <c r="XDQ34" s="713"/>
      <c r="XDR34" s="713"/>
      <c r="XDS34" s="713"/>
      <c r="XDT34" s="713"/>
      <c r="XDU34" s="713"/>
      <c r="XDV34" s="713"/>
      <c r="XDW34" s="713"/>
      <c r="XDX34" s="713"/>
      <c r="XDY34" s="713"/>
      <c r="XDZ34" s="713"/>
      <c r="XEA34" s="713"/>
      <c r="XEB34" s="713"/>
      <c r="XEC34" s="713"/>
      <c r="XED34" s="713"/>
      <c r="XEE34" s="713"/>
      <c r="XEF34" s="713"/>
      <c r="XEG34" s="713"/>
    </row>
    <row r="35" spans="1:16361" s="313" customFormat="1" ht="6" customHeight="1" x14ac:dyDescent="0.35">
      <c r="D35" s="265"/>
      <c r="E35" s="265"/>
      <c r="F35" s="1073"/>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J35" s="214"/>
      <c r="AK35" s="214"/>
    </row>
    <row r="36" spans="1:16361" s="313" customFormat="1" ht="6" customHeight="1" x14ac:dyDescent="0.35">
      <c r="D36" s="270"/>
      <c r="E36" s="270"/>
      <c r="F36" s="1074"/>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J36" s="214"/>
      <c r="AK36" s="214"/>
    </row>
    <row r="37" spans="1:16361" s="162" customFormat="1" ht="15" customHeight="1" x14ac:dyDescent="0.35">
      <c r="D37" s="162" t="s">
        <v>45</v>
      </c>
      <c r="F37" s="243"/>
      <c r="G37" s="2129"/>
      <c r="AJ37" s="217"/>
      <c r="AK37" s="217"/>
    </row>
    <row r="38" spans="1:16361" s="151" customFormat="1" ht="15" customHeight="1" x14ac:dyDescent="0.35">
      <c r="A38" s="151">
        <f>MAX($A$8:A37)+1</f>
        <v>21</v>
      </c>
      <c r="C38" s="153"/>
      <c r="D38" s="216" t="s">
        <v>493</v>
      </c>
      <c r="E38" s="151" t="str">
        <f>'CT Capital Costs'!$U$27</f>
        <v>Nominal$</v>
      </c>
      <c r="F38" s="225" t="str">
        <f t="shared" ref="F38:F43" si="5">"["&amp;A38&amp;"]"</f>
        <v>[21]</v>
      </c>
      <c r="G38" s="245" t="s">
        <v>39</v>
      </c>
      <c r="H38" s="276">
        <f t="shared" ref="H38:AH38" ca="1" si="6">IF(H27&gt;ROUNDUP($H$15,0),0,$H$16-SUM($H$39:$H$42))*H$34</f>
        <v>25738167.859982174</v>
      </c>
      <c r="I38" s="276">
        <f t="shared" ca="1" si="6"/>
        <v>26356080.290330879</v>
      </c>
      <c r="J38" s="276">
        <f t="shared" ca="1" si="6"/>
        <v>26990635.812786371</v>
      </c>
      <c r="K38" s="276">
        <f t="shared" ca="1" si="6"/>
        <v>27643685.537017025</v>
      </c>
      <c r="L38" s="276">
        <f t="shared" ca="1" si="6"/>
        <v>28316401.480977982</v>
      </c>
      <c r="M38" s="276">
        <f t="shared" ca="1" si="6"/>
        <v>29009604.160890751</v>
      </c>
      <c r="N38" s="276">
        <f t="shared" ca="1" si="6"/>
        <v>29723941.456701297</v>
      </c>
      <c r="O38" s="276">
        <f t="shared" ca="1" si="6"/>
        <v>30459977.29780769</v>
      </c>
      <c r="P38" s="276">
        <f t="shared" ca="1" si="6"/>
        <v>31218241.312384553</v>
      </c>
      <c r="Q38" s="276">
        <f t="shared" ca="1" si="6"/>
        <v>31999250.977944896</v>
      </c>
      <c r="R38" s="276">
        <f t="shared" ca="1" si="6"/>
        <v>32803529.927871913</v>
      </c>
      <c r="S38" s="276">
        <f t="shared" ca="1" si="6"/>
        <v>33631612.194523819</v>
      </c>
      <c r="T38" s="276">
        <f t="shared" ca="1" si="6"/>
        <v>34484047.372804977</v>
      </c>
      <c r="U38" s="276">
        <f t="shared" ca="1" si="6"/>
        <v>35361399.956011198</v>
      </c>
      <c r="V38" s="276">
        <f t="shared" ca="1" si="6"/>
        <v>36264254.761449575</v>
      </c>
      <c r="W38" s="276">
        <f t="shared" ca="1" si="6"/>
        <v>37193215.215263903</v>
      </c>
      <c r="X38" s="276">
        <f t="shared" ca="1" si="6"/>
        <v>38148905.024801344</v>
      </c>
      <c r="Y38" s="276">
        <f t="shared" ca="1" si="6"/>
        <v>39131966.247034937</v>
      </c>
      <c r="Z38" s="276">
        <f t="shared" ca="1" si="6"/>
        <v>40143063.245534323</v>
      </c>
      <c r="AA38" s="276">
        <f t="shared" ca="1" si="6"/>
        <v>41182880.954146415</v>
      </c>
      <c r="AB38" s="276">
        <f t="shared" si="6"/>
        <v>0</v>
      </c>
      <c r="AC38" s="276">
        <f t="shared" si="6"/>
        <v>0</v>
      </c>
      <c r="AD38" s="276">
        <f t="shared" si="6"/>
        <v>0</v>
      </c>
      <c r="AE38" s="276">
        <f t="shared" si="6"/>
        <v>0</v>
      </c>
      <c r="AF38" s="276">
        <f t="shared" si="6"/>
        <v>0</v>
      </c>
      <c r="AG38" s="276">
        <f t="shared" si="6"/>
        <v>0</v>
      </c>
      <c r="AH38" s="276">
        <f t="shared" si="6"/>
        <v>0</v>
      </c>
      <c r="AI38" s="313"/>
      <c r="AJ38" s="214"/>
      <c r="AK38" s="214"/>
    </row>
    <row r="39" spans="1:16361" s="313" customFormat="1" ht="15" customHeight="1" x14ac:dyDescent="0.35">
      <c r="A39" s="313">
        <f>MAX($A$8:A38)+1</f>
        <v>22</v>
      </c>
      <c r="D39" s="215" t="s">
        <v>47</v>
      </c>
      <c r="E39" s="313" t="str">
        <f>'CT Capital Costs'!$U$27</f>
        <v>Nominal$</v>
      </c>
      <c r="F39" s="312" t="str">
        <f t="shared" si="5"/>
        <v>[22]</v>
      </c>
      <c r="G39" s="245" t="s">
        <v>39</v>
      </c>
      <c r="H39" s="242">
        <f>IF(H27&gt;ROUNDUP($H$15,0),0,IF($H$12=Control!$K$10,(H$29*H$30)*(1+$H$22)*H$34)*Control!$P$91)</f>
        <v>0</v>
      </c>
      <c r="I39" s="242">
        <f>IF(I27&gt;ROUNDUP($H$15,0),0,IF($H$12=Control!$K$10,(I$29*I$30)*(1+$H$22)*I$34)*Control!$P$91)</f>
        <v>0</v>
      </c>
      <c r="J39" s="242">
        <f>IF(J27&gt;ROUNDUP($H$15,0),0,IF($H$12=Control!$K$10,(J$29*J$30)*(1+$H$22)*J$34)*Control!$P$91)</f>
        <v>0</v>
      </c>
      <c r="K39" s="242">
        <f>IF(K27&gt;ROUNDUP($H$15,0),0,IF($H$12=Control!$K$10,(K$29*K$30)*(1+$H$22)*K$34)*Control!$P$91)</f>
        <v>0</v>
      </c>
      <c r="L39" s="242">
        <f>IF(L27&gt;ROUNDUP($H$15,0),0,IF($H$12=Control!$K$10,(L$29*L$30)*(1+$H$22)*L$34)*Control!$P$91)</f>
        <v>0</v>
      </c>
      <c r="M39" s="242">
        <f>IF(M27&gt;ROUNDUP($H$15,0),0,IF($H$12=Control!$K$10,(M$29*M$30)*(1+$H$22)*M$34)*Control!$P$91)</f>
        <v>0</v>
      </c>
      <c r="N39" s="242">
        <f>IF(N27&gt;ROUNDUP($H$15,0),0,IF($H$12=Control!$K$10,(N$29*N$30)*(1+$H$22)*N$34)*Control!$P$91)</f>
        <v>0</v>
      </c>
      <c r="O39" s="242">
        <f>IF(O27&gt;ROUNDUP($H$15,0),0,IF($H$12=Control!$K$10,(O$29*O$30)*(1+$H$22)*O$34)*Control!$P$91)</f>
        <v>0</v>
      </c>
      <c r="P39" s="242">
        <f>IF(P27&gt;ROUNDUP($H$15,0),0,IF($H$12=Control!$K$10,(P$29*P$30)*(1+$H$22)*P$34)*Control!$P$91)</f>
        <v>0</v>
      </c>
      <c r="Q39" s="242">
        <f>IF(Q27&gt;ROUNDUP($H$15,0),0,IF($H$12=Control!$K$10,(Q$29*Q$30)*(1+$H$22)*Q$34)*Control!$P$91)</f>
        <v>0</v>
      </c>
      <c r="R39" s="242">
        <f>IF(R27&gt;ROUNDUP($H$15,0),0,IF($H$12=Control!$K$10,(R$29*R$30)*(1+$H$22)*R$34)*Control!$P$91)</f>
        <v>0</v>
      </c>
      <c r="S39" s="242">
        <f>IF(S27&gt;ROUNDUP($H$15,0),0,IF($H$12=Control!$K$10,(S$29*S$30)*(1+$H$22)*S$34)*Control!$P$91)</f>
        <v>0</v>
      </c>
      <c r="T39" s="242">
        <f>IF(T27&gt;ROUNDUP($H$15,0),0,IF($H$12=Control!$K$10,(T$29*T$30)*(1+$H$22)*T$34)*Control!$P$91)</f>
        <v>0</v>
      </c>
      <c r="U39" s="242">
        <f>IF(U27&gt;ROUNDUP($H$15,0),0,IF($H$12=Control!$K$10,(U$29*U$30)*(1+$H$22)*U$34)*Control!$P$91)</f>
        <v>0</v>
      </c>
      <c r="V39" s="242">
        <f>IF(V27&gt;ROUNDUP($H$15,0),0,IF($H$12=Control!$K$10,(V$29*V$30)*(1+$H$22)*V$34)*Control!$P$91)</f>
        <v>0</v>
      </c>
      <c r="W39" s="242">
        <f>IF(W27&gt;ROUNDUP($H$15,0),0,IF($H$12=Control!$K$10,(W$29*W$30)*(1+$H$22)*W$34)*Control!$P$91)</f>
        <v>0</v>
      </c>
      <c r="X39" s="242">
        <f>IF(X27&gt;ROUNDUP($H$15,0),0,IF($H$12=Control!$K$10,(X$29*X$30)*(1+$H$22)*X$34)*Control!$P$91)</f>
        <v>0</v>
      </c>
      <c r="Y39" s="242">
        <f>IF(Y27&gt;ROUNDUP($H$15,0),0,IF($H$12=Control!$K$10,(Y$29*Y$30)*(1+$H$22)*Y$34)*Control!$P$91)</f>
        <v>0</v>
      </c>
      <c r="Z39" s="242">
        <f>IF(Z27&gt;ROUNDUP($H$15,0),0,IF($H$12=Control!$K$10,(Z$29*Z$30)*(1+$H$22)*Z$34)*Control!$P$91)</f>
        <v>0</v>
      </c>
      <c r="AA39" s="242">
        <f>IF(AA27&gt;ROUNDUP($H$15,0),0,IF($H$12=Control!$K$10,(AA$29*AA$30)*(1+$H$22)*AA$34)*Control!$P$91)</f>
        <v>0</v>
      </c>
      <c r="AB39" s="242">
        <f>IF(AB27&gt;ROUNDUP($H$15,0),0,IF($H$12=Control!$K$10,(AB$29*AB$30)*(1+$H$22)*AB$34)*Control!$P$91)</f>
        <v>0</v>
      </c>
      <c r="AC39" s="242">
        <f>IF(AC27&gt;ROUNDUP($H$15,0),0,IF($H$12=Control!$K$10,(AC$29*AC$30)*(1+$H$22)*AC$34)*Control!$P$91)</f>
        <v>0</v>
      </c>
      <c r="AD39" s="242">
        <f>IF(AD27&gt;ROUNDUP($H$15,0),0,IF($H$12=Control!$K$10,(AD$29*AD$30)*(1+$H$22)*AD$34)*Control!$P$91)</f>
        <v>0</v>
      </c>
      <c r="AE39" s="242">
        <f>IF(AE27&gt;ROUNDUP($H$15,0),0,IF($H$12=Control!$K$10,(AE$29*AE$30)*(1+$H$22)*AE$34)*Control!$P$91)</f>
        <v>0</v>
      </c>
      <c r="AF39" s="242">
        <f>IF(AF27&gt;ROUNDUP($H$15,0),0,IF($H$12=Control!$K$10,(AF$29*AF$30)*(1+$H$22)*AF$34)*Control!$P$91)</f>
        <v>0</v>
      </c>
      <c r="AG39" s="242">
        <f>IF(AG27&gt;ROUNDUP($H$15,0),0,IF($H$12=Control!$K$10,(AG$29*AG$30)*(1+$H$22)*AG$34)*Control!$P$91)</f>
        <v>0</v>
      </c>
      <c r="AH39" s="242">
        <f>IF(AH27&gt;ROUNDUP($H$15,0),0,IF($H$12=Control!$K$10,(AH$29*AH$30)*(1+$H$22)*AH$34)*Control!$P$91)</f>
        <v>0</v>
      </c>
      <c r="AJ39" s="214"/>
      <c r="AK39" s="217" t="s">
        <v>661</v>
      </c>
    </row>
    <row r="40" spans="1:16361" s="151" customFormat="1" ht="15" customHeight="1" x14ac:dyDescent="0.35">
      <c r="A40" s="151">
        <f>MAX($A$8:A39)+1</f>
        <v>23</v>
      </c>
      <c r="C40" s="153"/>
      <c r="D40" s="215" t="s">
        <v>43</v>
      </c>
      <c r="E40" s="151" t="str">
        <f>'CT Capital Costs'!$U$27</f>
        <v>Nominal$</v>
      </c>
      <c r="F40" s="225" t="str">
        <f t="shared" si="5"/>
        <v>[23]</v>
      </c>
      <c r="G40" s="245" t="str">
        <f>'Annual Property Tax Costs'!$D$3</f>
        <v>Table B5</v>
      </c>
      <c r="H40" s="276">
        <f ca="1">IF(H27&gt;ROUNDUP($H$15,0),0,INDEX('Annual Property Tax Costs'!$46:$72, MATCH(H27, 'Annual Property Tax Costs'!$E$46:$E$72, 0), MATCH($H$12&amp;"_"&amp;$H$13, 'Annual Property Tax Costs'!$27:$27, 0)))</f>
        <v>12582163.883989282</v>
      </c>
      <c r="I40" s="276">
        <f ca="1">IF(I27&gt;ROUNDUP($H$15,0),0,INDEX('Annual Property Tax Costs'!$46:$72, MATCH(I27, 'Annual Property Tax Costs'!$E$46:$E$72, 0), MATCH($H$12&amp;"_"&amp;$H$13, 'Annual Property Tax Costs'!$27:$27, 0)))</f>
        <v>12301351.110041657</v>
      </c>
      <c r="J40" s="276">
        <f ca="1">IF(J27&gt;ROUNDUP($H$15,0),0,INDEX('Annual Property Tax Costs'!$46:$72, MATCH(J27, 'Annual Property Tax Costs'!$E$46:$E$72, 0), MATCH($H$12&amp;"_"&amp;$H$13, 'Annual Property Tax Costs'!$27:$27, 0)))</f>
        <v>12022128.335866261</v>
      </c>
      <c r="K40" s="276">
        <f ca="1">IF(K27&gt;ROUNDUP($H$15,0),0,INDEX('Annual Property Tax Costs'!$46:$72, MATCH(K27, 'Annual Property Tax Costs'!$E$46:$E$72, 0), MATCH($H$12&amp;"_"&amp;$H$13, 'Annual Property Tax Costs'!$27:$27, 0)))</f>
        <v>11734374.070745934</v>
      </c>
      <c r="L40" s="276">
        <f ca="1">IF(L27&gt;ROUNDUP($H$15,0),0,INDEX('Annual Property Tax Costs'!$46:$72, MATCH(L27, 'Annual Property Tax Costs'!$E$46:$E$72, 0), MATCH($H$12&amp;"_"&amp;$H$13, 'Annual Property Tax Costs'!$27:$27, 0)))</f>
        <v>11458796.956950981</v>
      </c>
      <c r="M40" s="276">
        <f ca="1">IF(M27&gt;ROUNDUP($H$15,0),0,INDEX('Annual Property Tax Costs'!$46:$72, MATCH(M27, 'Annual Property Tax Costs'!$E$46:$E$72, 0), MATCH($H$12&amp;"_"&amp;$H$13, 'Annual Property Tax Costs'!$27:$27, 0)))</f>
        <v>11185177.045897443</v>
      </c>
      <c r="N40" s="276">
        <f ca="1">IF(N27&gt;ROUNDUP($H$15,0),0,INDEX('Annual Property Tax Costs'!$46:$72, MATCH(N27, 'Annual Property Tax Costs'!$E$46:$E$72, 0), MATCH($H$12&amp;"_"&amp;$H$13, 'Annual Property Tax Costs'!$27:$27, 0)))</f>
        <v>10903277.896174377</v>
      </c>
      <c r="O40" s="276">
        <f ca="1">IF(O27&gt;ROUNDUP($H$15,0),0,INDEX('Annual Property Tax Costs'!$46:$72, MATCH(O27, 'Annual Property Tax Costs'!$E$46:$E$72, 0), MATCH($H$12&amp;"_"&amp;$H$13, 'Annual Property Tax Costs'!$27:$27, 0)))</f>
        <v>10633750.056239873</v>
      </c>
      <c r="P40" s="276">
        <f ca="1">IF(P27&gt;ROUNDUP($H$15,0),0,INDEX('Annual Property Tax Costs'!$46:$72, MATCH(P27, 'Annual Property Tax Costs'!$E$46:$E$72, 0), MATCH($H$12&amp;"_"&amp;$H$13, 'Annual Property Tax Costs'!$27:$27, 0)))</f>
        <v>10366345.787486034</v>
      </c>
      <c r="Q40" s="276">
        <f ca="1">IF(Q27&gt;ROUNDUP($H$15,0),0,INDEX('Annual Property Tax Costs'!$46:$72, MATCH(Q27, 'Annual Property Tax Costs'!$E$46:$E$72, 0), MATCH($H$12&amp;"_"&amp;$H$13, 'Annual Property Tax Costs'!$27:$27, 0)))</f>
        <v>10090816.190490058</v>
      </c>
      <c r="R40" s="276">
        <f ca="1">IF(R27&gt;ROUNDUP($H$15,0),0,INDEX('Annual Property Tax Costs'!$46:$72, MATCH(R27, 'Annual Property Tax Costs'!$E$46:$E$72, 0), MATCH($H$12&amp;"_"&amp;$H$13, 'Annual Property Tax Costs'!$27:$27, 0)))</f>
        <v>9827807.9640254956</v>
      </c>
      <c r="S40" s="276">
        <f ca="1">IF(S27&gt;ROUNDUP($H$15,0),0,INDEX('Annual Property Tax Costs'!$46:$72, MATCH(S27, 'Annual Property Tax Costs'!$E$46:$E$72, 0), MATCH($H$12&amp;"_"&amp;$H$13, 'Annual Property Tax Costs'!$27:$27, 0)))</f>
        <v>9567073.7902386468</v>
      </c>
      <c r="T40" s="276">
        <f ca="1">IF(T27&gt;ROUNDUP($H$15,0),0,INDEX('Annual Property Tax Costs'!$46:$72, MATCH(T27, 'Annual Property Tax Costs'!$E$46:$E$72, 0), MATCH($H$12&amp;"_"&amp;$H$13, 'Annual Property Tax Costs'!$27:$27, 0)))</f>
        <v>9298367.838045489</v>
      </c>
      <c r="U40" s="276">
        <f ca="1">IF(U27&gt;ROUNDUP($H$15,0),0,INDEX('Annual Property Tax Costs'!$46:$72, MATCH(U27, 'Annual Property Tax Costs'!$E$46:$E$72, 0), MATCH($H$12&amp;"_"&amp;$H$13, 'Annual Property Tax Costs'!$27:$27, 0)))</f>
        <v>9042340.7097761594</v>
      </c>
      <c r="V40" s="276">
        <f ca="1">IF(V27&gt;ROUNDUP($H$15,0),0,INDEX('Annual Property Tax Costs'!$46:$72, MATCH(V27, 'Annual Property Tax Costs'!$E$46:$E$72, 0), MATCH($H$12&amp;"_"&amp;$H$13, 'Annual Property Tax Costs'!$27:$27, 0)))</f>
        <v>8788749.939323049</v>
      </c>
      <c r="W40" s="276">
        <f ca="1">IF(W27&gt;ROUNDUP($H$15,0),0,INDEX('Annual Property Tax Costs'!$46:$72, MATCH(W27, 'Annual Property Tax Costs'!$E$46:$E$72, 0), MATCH($H$12&amp;"_"&amp;$H$13, 'Annual Property Tax Costs'!$27:$27, 0)))</f>
        <v>8531768.4112466201</v>
      </c>
      <c r="X40" s="276">
        <f ca="1">IF(X27&gt;ROUNDUP($H$15,0),0,INDEX('Annual Property Tax Costs'!$46:$72, MATCH(X27, 'Annual Property Tax Costs'!$E$46:$E$72, 0), MATCH($H$12&amp;"_"&amp;$H$13, 'Annual Property Tax Costs'!$27:$27, 0)))</f>
        <v>8279915.0595040945</v>
      </c>
      <c r="Y40" s="276">
        <f ca="1">IF(Y27&gt;ROUNDUP($H$15,0),0,INDEX('Annual Property Tax Costs'!$46:$72, MATCH(Y27, 'Annual Property Tax Costs'!$E$46:$E$72, 0), MATCH($H$12&amp;"_"&amp;$H$13, 'Annual Property Tax Costs'!$27:$27, 0)))</f>
        <v>8030676.638909772</v>
      </c>
      <c r="Z40" s="276">
        <f ca="1">IF(Z27&gt;ROUNDUP($H$15,0),0,INDEX('Annual Property Tax Costs'!$46:$72, MATCH(Z27, 'Annual Property Tax Costs'!$E$46:$E$72, 0), MATCH($H$12&amp;"_"&amp;$H$13, 'Annual Property Tax Costs'!$27:$27, 0)))</f>
        <v>7779335.2489059623</v>
      </c>
      <c r="AA40" s="276">
        <f ca="1">IF(AA27&gt;ROUNDUP($H$15,0),0,INDEX('Annual Property Tax Costs'!$46:$72, MATCH(AA27, 'Annual Property Tax Costs'!$E$46:$E$72, 0), MATCH($H$12&amp;"_"&amp;$H$13, 'Annual Property Tax Costs'!$27:$27, 0)))</f>
        <v>7538829.2456014371</v>
      </c>
      <c r="AB40" s="276">
        <f>IF(AB27&gt;ROUNDUP($H$15,0),0,INDEX('Annual Property Tax Costs'!$46:$72, MATCH(AB27, 'Annual Property Tax Costs'!$E$46:$E$72, 0), MATCH($H$12&amp;"_"&amp;$H$13, 'Annual Property Tax Costs'!$27:$27, 0)))</f>
        <v>0</v>
      </c>
      <c r="AC40" s="276">
        <f>IF(AC27&gt;ROUNDUP($H$15,0),0,INDEX('Annual Property Tax Costs'!$46:$72, MATCH(AC27, 'Annual Property Tax Costs'!$E$46:$E$72, 0), MATCH($H$12&amp;"_"&amp;$H$13, 'Annual Property Tax Costs'!$27:$27, 0)))</f>
        <v>0</v>
      </c>
      <c r="AD40" s="276">
        <f>IF(AD27&gt;ROUNDUP($H$15,0),0,INDEX('Annual Property Tax Costs'!$46:$72, MATCH(AD27, 'Annual Property Tax Costs'!$E$46:$E$72, 0), MATCH($H$12&amp;"_"&amp;$H$13, 'Annual Property Tax Costs'!$27:$27, 0)))</f>
        <v>0</v>
      </c>
      <c r="AE40" s="276">
        <f>IF(AE27&gt;ROUNDUP($H$15,0),0,INDEX('Annual Property Tax Costs'!$46:$72, MATCH(AE27, 'Annual Property Tax Costs'!$E$46:$E$72, 0), MATCH($H$12&amp;"_"&amp;$H$13, 'Annual Property Tax Costs'!$27:$27, 0)))</f>
        <v>0</v>
      </c>
      <c r="AF40" s="276">
        <f>IF(AF27&gt;ROUNDUP($H$15,0),0,INDEX('Annual Property Tax Costs'!$46:$72, MATCH(AF27, 'Annual Property Tax Costs'!$E$46:$E$72, 0), MATCH($H$12&amp;"_"&amp;$H$13, 'Annual Property Tax Costs'!$27:$27, 0)))</f>
        <v>0</v>
      </c>
      <c r="AG40" s="276">
        <f>IF(AG27&gt;ROUNDUP($H$15,0),0,INDEX('Annual Property Tax Costs'!$46:$72, MATCH(AG27, 'Annual Property Tax Costs'!$E$46:$E$72, 0), MATCH($H$12&amp;"_"&amp;$H$13, 'Annual Property Tax Costs'!$27:$27, 0)))</f>
        <v>0</v>
      </c>
      <c r="AH40" s="276">
        <f>IF(AH27&gt;ROUNDUP($H$15,0),0,INDEX('Annual Property Tax Costs'!$46:$72, MATCH(AH27, 'Annual Property Tax Costs'!$E$46:$E$72, 0), MATCH($H$12&amp;"_"&amp;$H$13, 'Annual Property Tax Costs'!$27:$27, 0)))</f>
        <v>0</v>
      </c>
      <c r="AI40" s="313"/>
      <c r="AJ40" s="214" t="s">
        <v>64</v>
      </c>
      <c r="AK40" s="219" t="str">
        <f>$H$12&amp;"_"&amp;$H$13&amp;"_"&amp;$AJ40</f>
        <v>CC_Rest of RTO_Total</v>
      </c>
    </row>
    <row r="41" spans="1:16361" s="151" customFormat="1" ht="15" customHeight="1" x14ac:dyDescent="0.35">
      <c r="A41" s="313">
        <f>MAX($A$8:A40)+1</f>
        <v>24</v>
      </c>
      <c r="C41" s="153"/>
      <c r="D41" s="215" t="s">
        <v>489</v>
      </c>
      <c r="E41" s="151" t="str">
        <f>'CT Capital Costs'!$U$27</f>
        <v>Nominal$</v>
      </c>
      <c r="F41" s="225" t="str">
        <f t="shared" si="5"/>
        <v>[24]</v>
      </c>
      <c r="G41" s="313" t="str">
        <f>F17&amp;" x "&amp;F34</f>
        <v>[8] x [20]</v>
      </c>
      <c r="H41" s="276">
        <f t="shared" ref="H41:AH41" si="7">IF(H27&gt;ROUNDUP($H$15,0),0,$H$17*H$34)</f>
        <v>26522866.514733449</v>
      </c>
      <c r="I41" s="276">
        <f t="shared" si="7"/>
        <v>27159617.700641077</v>
      </c>
      <c r="J41" s="276">
        <f t="shared" si="7"/>
        <v>27813519.388975378</v>
      </c>
      <c r="K41" s="276">
        <f t="shared" si="7"/>
        <v>28486479.125561118</v>
      </c>
      <c r="L41" s="276">
        <f t="shared" si="7"/>
        <v>29179704.660535995</v>
      </c>
      <c r="M41" s="276">
        <f t="shared" si="7"/>
        <v>29894041.525809459</v>
      </c>
      <c r="N41" s="276">
        <f t="shared" si="7"/>
        <v>30630157.353724953</v>
      </c>
      <c r="O41" s="276">
        <f t="shared" si="7"/>
        <v>31388633.266615279</v>
      </c>
      <c r="P41" s="276">
        <f t="shared" si="7"/>
        <v>32170015.039822895</v>
      </c>
      <c r="Q41" s="276">
        <f t="shared" si="7"/>
        <v>32974835.927582383</v>
      </c>
      <c r="R41" s="276">
        <f t="shared" si="7"/>
        <v>33803635.527677111</v>
      </c>
      <c r="S41" s="276">
        <f t="shared" si="7"/>
        <v>34656964.153906748</v>
      </c>
      <c r="T41" s="276">
        <f t="shared" si="7"/>
        <v>35535388.157084025</v>
      </c>
      <c r="U41" s="276">
        <f t="shared" si="7"/>
        <v>36439489.240631439</v>
      </c>
      <c r="V41" s="276">
        <f t="shared" si="7"/>
        <v>37369870.051616028</v>
      </c>
      <c r="W41" s="276">
        <f t="shared" si="7"/>
        <v>38327152.413282961</v>
      </c>
      <c r="X41" s="276">
        <f t="shared" si="7"/>
        <v>39311979.048408888</v>
      </c>
      <c r="Y41" s="276">
        <f t="shared" si="7"/>
        <v>40325011.588835031</v>
      </c>
      <c r="Z41" s="276">
        <f t="shared" si="7"/>
        <v>41366934.653077006</v>
      </c>
      <c r="AA41" s="276">
        <f t="shared" si="7"/>
        <v>42438454.057069018</v>
      </c>
      <c r="AB41" s="276">
        <f t="shared" si="7"/>
        <v>0</v>
      </c>
      <c r="AC41" s="276">
        <f t="shared" si="7"/>
        <v>0</v>
      </c>
      <c r="AD41" s="276">
        <f t="shared" si="7"/>
        <v>0</v>
      </c>
      <c r="AE41" s="276">
        <f t="shared" si="7"/>
        <v>0</v>
      </c>
      <c r="AF41" s="276">
        <f t="shared" si="7"/>
        <v>0</v>
      </c>
      <c r="AG41" s="276">
        <f t="shared" si="7"/>
        <v>0</v>
      </c>
      <c r="AH41" s="276">
        <f t="shared" si="7"/>
        <v>0</v>
      </c>
      <c r="AI41" s="313"/>
      <c r="AJ41" s="214"/>
      <c r="AK41" s="214"/>
    </row>
    <row r="42" spans="1:16361" s="151" customFormat="1" ht="15" customHeight="1" x14ac:dyDescent="0.35">
      <c r="A42" s="313">
        <f>MAX($A$8:A41)+1</f>
        <v>25</v>
      </c>
      <c r="C42" s="153"/>
      <c r="D42" s="215" t="s">
        <v>648</v>
      </c>
      <c r="E42" s="151" t="str">
        <f>'CT Capital Costs'!$U$27</f>
        <v>Nominal$</v>
      </c>
      <c r="F42" s="225" t="str">
        <f t="shared" si="5"/>
        <v>[25]</v>
      </c>
      <c r="G42" s="313" t="str">
        <f>F18&amp;" x "&amp;F34</f>
        <v>[9] x [20]</v>
      </c>
      <c r="H42" s="276">
        <f t="shared" ref="H42:AH42" si="8">IF(H27&gt;ROUNDUP($H$15,0),0,$H$18*H$34)</f>
        <v>537444.96852030745</v>
      </c>
      <c r="I42" s="276">
        <f t="shared" si="8"/>
        <v>550347.74887684581</v>
      </c>
      <c r="J42" s="276">
        <f t="shared" si="8"/>
        <v>563598.05770402262</v>
      </c>
      <c r="K42" s="276">
        <f t="shared" si="8"/>
        <v>577234.54847487668</v>
      </c>
      <c r="L42" s="276">
        <f t="shared" si="8"/>
        <v>591281.69438254402</v>
      </c>
      <c r="M42" s="276">
        <f t="shared" si="8"/>
        <v>605756.6288266218</v>
      </c>
      <c r="N42" s="276">
        <f t="shared" si="8"/>
        <v>620672.88034647831</v>
      </c>
      <c r="O42" s="276">
        <f t="shared" si="8"/>
        <v>636042.22448959004</v>
      </c>
      <c r="P42" s="276">
        <f t="shared" si="8"/>
        <v>651875.72055121011</v>
      </c>
      <c r="Q42" s="276">
        <f t="shared" si="8"/>
        <v>668184.17410565924</v>
      </c>
      <c r="R42" s="276">
        <f t="shared" si="8"/>
        <v>684978.51926948677</v>
      </c>
      <c r="S42" s="276">
        <f t="shared" si="8"/>
        <v>702269.9073027788</v>
      </c>
      <c r="T42" s="276">
        <f t="shared" si="8"/>
        <v>720069.81443094835</v>
      </c>
      <c r="U42" s="276">
        <f t="shared" si="8"/>
        <v>738390.02797635808</v>
      </c>
      <c r="V42" s="276">
        <f t="shared" si="8"/>
        <v>757242.75965201412</v>
      </c>
      <c r="W42" s="276">
        <f t="shared" si="8"/>
        <v>776640.6097465856</v>
      </c>
      <c r="X42" s="276">
        <f t="shared" si="8"/>
        <v>796596.60204550216</v>
      </c>
      <c r="Y42" s="276">
        <f t="shared" si="8"/>
        <v>817124.14349721279</v>
      </c>
      <c r="Z42" s="276">
        <f t="shared" si="8"/>
        <v>838237.10683965706</v>
      </c>
      <c r="AA42" s="276">
        <f t="shared" si="8"/>
        <v>859949.79434375779</v>
      </c>
      <c r="AB42" s="276">
        <f t="shared" si="8"/>
        <v>0</v>
      </c>
      <c r="AC42" s="276">
        <f t="shared" si="8"/>
        <v>0</v>
      </c>
      <c r="AD42" s="276">
        <f t="shared" si="8"/>
        <v>0</v>
      </c>
      <c r="AE42" s="276">
        <f t="shared" si="8"/>
        <v>0</v>
      </c>
      <c r="AF42" s="276">
        <f t="shared" si="8"/>
        <v>0</v>
      </c>
      <c r="AG42" s="276">
        <f t="shared" si="8"/>
        <v>0</v>
      </c>
      <c r="AH42" s="276">
        <f t="shared" si="8"/>
        <v>0</v>
      </c>
      <c r="AI42" s="313"/>
      <c r="AJ42" s="214"/>
      <c r="AK42" s="214"/>
    </row>
    <row r="43" spans="1:16361" s="151" customFormat="1" ht="15" customHeight="1" x14ac:dyDescent="0.35">
      <c r="A43" s="313">
        <f>MAX($A$8:A42)+1</f>
        <v>26</v>
      </c>
      <c r="C43" s="153"/>
      <c r="D43" s="2180" t="s">
        <v>49</v>
      </c>
      <c r="E43" s="162" t="str">
        <f>'CT Capital Costs'!$U$27</f>
        <v>Nominal$</v>
      </c>
      <c r="F43" s="243" t="str">
        <f t="shared" si="5"/>
        <v>[26]</v>
      </c>
      <c r="G43" s="2129" t="str">
        <f>"SUM("&amp;$F$38&amp;":"&amp;$F$42&amp;")"</f>
        <v>SUM([21]:[25])</v>
      </c>
      <c r="H43" s="164">
        <f t="shared" ref="H43:AH43" ca="1" si="9">IF(H27&gt;ROUNDUP($H$15,0),0,SUM(H38:H42))</f>
        <v>65380643.227225207</v>
      </c>
      <c r="I43" s="164">
        <f t="shared" ca="1" si="9"/>
        <v>66367396.849890463</v>
      </c>
      <c r="J43" s="164">
        <f t="shared" ca="1" si="9"/>
        <v>67389881.595332026</v>
      </c>
      <c r="K43" s="164">
        <f t="shared" ca="1" si="9"/>
        <v>68441773.281798959</v>
      </c>
      <c r="L43" s="164">
        <f t="shared" ca="1" si="9"/>
        <v>69546184.792847499</v>
      </c>
      <c r="M43" s="164">
        <f t="shared" ca="1" si="9"/>
        <v>70694579.361424267</v>
      </c>
      <c r="N43" s="164">
        <f t="shared" ca="1" si="9"/>
        <v>71878049.586947098</v>
      </c>
      <c r="O43" s="164">
        <f t="shared" ca="1" si="9"/>
        <v>73118402.845152423</v>
      </c>
      <c r="P43" s="164">
        <f t="shared" ca="1" si="9"/>
        <v>74406477.860244691</v>
      </c>
      <c r="Q43" s="164">
        <f t="shared" ca="1" si="9"/>
        <v>75733087.27012299</v>
      </c>
      <c r="R43" s="164">
        <f t="shared" ca="1" si="9"/>
        <v>77119951.93884401</v>
      </c>
      <c r="S43" s="164">
        <f t="shared" ca="1" si="9"/>
        <v>78557920.045972005</v>
      </c>
      <c r="T43" s="164">
        <f t="shared" ca="1" si="9"/>
        <v>80037873.182365447</v>
      </c>
      <c r="U43" s="164">
        <f t="shared" ca="1" si="9"/>
        <v>81581619.934395164</v>
      </c>
      <c r="V43" s="164">
        <f t="shared" ca="1" si="9"/>
        <v>83180117.512040675</v>
      </c>
      <c r="W43" s="164">
        <f t="shared" ca="1" si="9"/>
        <v>84828776.649540082</v>
      </c>
      <c r="X43" s="164">
        <f t="shared" ca="1" si="9"/>
        <v>86537395.734759837</v>
      </c>
      <c r="Y43" s="164">
        <f t="shared" ca="1" si="9"/>
        <v>88304778.618276954</v>
      </c>
      <c r="Z43" s="164">
        <f t="shared" ca="1" si="9"/>
        <v>90127570.254356951</v>
      </c>
      <c r="AA43" s="164">
        <f t="shared" ca="1" si="9"/>
        <v>92020114.051160619</v>
      </c>
      <c r="AB43" s="164">
        <f t="shared" si="9"/>
        <v>0</v>
      </c>
      <c r="AC43" s="164">
        <f t="shared" si="9"/>
        <v>0</v>
      </c>
      <c r="AD43" s="164">
        <f t="shared" si="9"/>
        <v>0</v>
      </c>
      <c r="AE43" s="164">
        <f t="shared" si="9"/>
        <v>0</v>
      </c>
      <c r="AF43" s="164">
        <f t="shared" si="9"/>
        <v>0</v>
      </c>
      <c r="AG43" s="164">
        <f t="shared" si="9"/>
        <v>0</v>
      </c>
      <c r="AH43" s="164">
        <f t="shared" si="9"/>
        <v>0</v>
      </c>
      <c r="AI43" s="313"/>
      <c r="AJ43" s="214"/>
      <c r="AK43" s="214"/>
    </row>
    <row r="44" spans="1:16361" s="26" customFormat="1" ht="6" customHeight="1" thickBot="1" x14ac:dyDescent="0.4">
      <c r="D44" s="44"/>
      <c r="E44" s="44"/>
      <c r="F44" s="10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J44" s="214"/>
      <c r="AK44" s="214"/>
    </row>
    <row r="45" spans="1:16361" s="26" customFormat="1" ht="6" customHeight="1" thickTop="1" x14ac:dyDescent="0.35">
      <c r="F45" s="92"/>
      <c r="AJ45" s="214"/>
      <c r="AK45" s="214"/>
    </row>
    <row r="46" spans="1:16361" s="26" customFormat="1" ht="15" customHeight="1" x14ac:dyDescent="0.35">
      <c r="D46" s="26" t="s">
        <v>50</v>
      </c>
      <c r="F46" s="92"/>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J46" s="214"/>
      <c r="AK46" s="214"/>
    </row>
    <row r="47" spans="1:16361" s="1115" customFormat="1" ht="15" customHeight="1" x14ac:dyDescent="0.35">
      <c r="D47" s="404" t="s">
        <v>679</v>
      </c>
      <c r="AJ47" s="214"/>
      <c r="AK47" s="214"/>
    </row>
    <row r="48" spans="1:16361" s="26" customFormat="1" ht="15" customHeight="1" x14ac:dyDescent="0.35">
      <c r="D48" s="93" t="str">
        <f>F14&amp;": MONTH("&amp;F9&amp;") + 6 months. Necessary for mid-period convention in "&amp;'Cash Flows'!$D$3&amp;"."</f>
        <v>[5]: MONTH([2]) + 6 months. Necessary for mid-period convention in Table A1.</v>
      </c>
      <c r="F48" s="92"/>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J48" s="214"/>
      <c r="AK48" s="214"/>
    </row>
    <row r="49" spans="4:37" s="26" customFormat="1" ht="15" customHeight="1" x14ac:dyDescent="0.35">
      <c r="D49" s="93" t="str">
        <f>$F16&amp;", "&amp;F18&amp;": If technology selected is CT: "&amp;'CT OM Costs'!$D$3&amp;". If CC: "&amp;'CC OM Costs'!$D$3&amp;". IF BESS: "&amp;'BESS OM Costs'!$D$3&amp;"."</f>
        <v>[7], [9]: If technology selected is CT: Table B2. If CC: Table B3. IF BESS: Table B4.</v>
      </c>
      <c r="F49" s="92"/>
      <c r="AJ49" s="214"/>
      <c r="AK49" s="214"/>
    </row>
    <row r="50" spans="4:37" s="26" customFormat="1" ht="15" customHeight="1" x14ac:dyDescent="0.35">
      <c r="D50" s="93" t="str">
        <f>$F17&amp;": If technology selected is CC: "&amp;'CC OM Costs'!$D$3&amp;". If CT or BESS, set to 0."</f>
        <v>[8]: If technology selected is CC: Table B3. If CT or BESS, set to 0.</v>
      </c>
      <c r="F50" s="92"/>
      <c r="AJ50" s="214"/>
      <c r="AK50" s="214"/>
    </row>
    <row r="51" spans="4:37" s="26" customFormat="1" ht="15" customHeight="1" x14ac:dyDescent="0.35">
      <c r="D51" s="93" t="str">
        <f>$F28&amp;": Based on the augmentation schedule described in "&amp;F19&amp;", "&amp;F20&amp;", and "&amp;F21&amp;". If there is an augmentation, 1. Otherwise, 0."</f>
        <v>[16]: Based on the augmentation schedule described in [10], [11], and [12]. If there is an augmentation, 1. Otherwise, 0.</v>
      </c>
      <c r="F51" s="92"/>
      <c r="AJ51" s="214"/>
      <c r="AK51" s="214"/>
    </row>
    <row r="52" spans="4:37" s="26" customFormat="1" ht="15" customHeight="1" x14ac:dyDescent="0.35">
      <c r="D52" s="93" t="str">
        <f>F34&amp;": In the first year, (1 + "&amp;F$33&amp;")^(("&amp;$F$14&amp;" - MONTH("&amp;$F$9&amp;"))/12). For subsequent years, ("&amp;F34&amp;"[Previous Year] x (1 + "&amp;F$33&amp;"[Previous Year])^((12 - ("&amp;$F$14&amp;" - 1))/12) x (1 + "&amp;F$33&amp;")^(("&amp;$F$14&amp;" - 1)/12)."</f>
        <v>[20]: In the first year, (1 + [19])^(([5] - MONTH([2]))/12). For subsequent years, ([20][Previous Year] x (1 + [19][Previous Year])^((12 - ([5] - 1))/12) x (1 + [19])^(([5] - 1)/12).</v>
      </c>
      <c r="F52" s="92"/>
      <c r="AJ52" s="214"/>
      <c r="AK52" s="214"/>
    </row>
    <row r="53" spans="4:37" s="26" customFormat="1" ht="15" customHeight="1" x14ac:dyDescent="0.35">
      <c r="D53" s="93" t="str">
        <f>$F38&amp;": ("&amp;$F$16&amp;" - SUM(("&amp;$F$39&amp;":"&amp;$F$42&amp;")["&amp;YEAR($H$9)&amp;"]) x "&amp;F34&amp;"."</f>
        <v>[21]: ([7] - SUM(([22]:[25])[2028]) x [20].</v>
      </c>
      <c r="F53" s="92"/>
      <c r="AJ53" s="214"/>
      <c r="AK53" s="214"/>
    </row>
    <row r="54" spans="4:37" s="26" customFormat="1" ht="15" customHeight="1" x14ac:dyDescent="0.35">
      <c r="D54" s="93" t="str">
        <f>$F39&amp;": If technology selected is BESS, ("&amp;F29&amp;" x "&amp;F30&amp;") x (1 + "&amp;$F$22&amp;") x "&amp;F$34&amp;". If CT or CC, 0."</f>
        <v>[22]: If technology selected is BESS, ([17] x [18]) x (1 + [13]) x [20]. If CT or CC, 0.</v>
      </c>
      <c r="F54" s="92"/>
      <c r="AJ54" s="214"/>
      <c r="AK54" s="214"/>
    </row>
  </sheetData>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922F-8485-4DB0-B612-218B99320AC4}">
  <sheetPr codeName="Sheet25">
    <pageSetUpPr autoPageBreaks="0"/>
  </sheetPr>
  <dimension ref="A1:AB76"/>
  <sheetViews>
    <sheetView showGridLines="0" zoomScale="70" zoomScaleNormal="70" workbookViewId="0"/>
  </sheetViews>
  <sheetFormatPr defaultColWidth="8.7265625" defaultRowHeight="15" customHeight="1" outlineLevelCol="1" x14ac:dyDescent="0.35"/>
  <cols>
    <col min="1" max="3" width="13.54296875" style="5" customWidth="1"/>
    <col min="4" max="4" width="47.54296875" style="5" customWidth="1"/>
    <col min="5" max="5" width="24.453125" style="5" bestFit="1" customWidth="1"/>
    <col min="6" max="6" width="5.7265625" style="5" customWidth="1"/>
    <col min="7" max="7" width="14" style="26" customWidth="1"/>
    <col min="8" max="8" width="13.54296875" style="26"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13.54296875" style="5" customWidth="1"/>
    <col min="24" max="25" width="13.54296875" style="23" customWidth="1"/>
    <col min="26" max="26" width="63.1796875" style="36" hidden="1" customWidth="1" outlineLevel="1"/>
    <col min="27" max="27" width="8.7265625" style="5" collapsed="1"/>
    <col min="28" max="16384" width="8.7265625" style="5"/>
  </cols>
  <sheetData>
    <row r="1" spans="1:26" ht="15" customHeight="1" x14ac:dyDescent="0.35">
      <c r="A1" s="81" t="s">
        <v>275</v>
      </c>
      <c r="B1" s="414"/>
      <c r="H1" s="26">
        <f>65</f>
        <v>65</v>
      </c>
      <c r="K1" s="26">
        <f>MAX($H$1:J1)+1</f>
        <v>66</v>
      </c>
      <c r="L1" s="26">
        <f>MAX($H$1:K1)+1</f>
        <v>67</v>
      </c>
      <c r="M1" s="26">
        <f>MAX($H$1:L1)+1</f>
        <v>68</v>
      </c>
      <c r="N1" s="26">
        <f>MAX($H$1:M1)+1</f>
        <v>69</v>
      </c>
      <c r="O1" s="26">
        <f>MAX($H$1:N1)+1</f>
        <v>70</v>
      </c>
      <c r="P1" s="26"/>
      <c r="Q1" s="26"/>
      <c r="R1" s="26">
        <f>MAX($H$1:Q1)+1</f>
        <v>71</v>
      </c>
      <c r="S1" s="26">
        <f>MAX($H$1:R1)+1</f>
        <v>72</v>
      </c>
      <c r="T1" s="26">
        <f>MAX($H$1:S1)+1</f>
        <v>73</v>
      </c>
      <c r="U1" s="26">
        <f>MAX($H$1:T1)+1</f>
        <v>74</v>
      </c>
      <c r="V1" s="26">
        <f>MAX($H$1:U1)+1</f>
        <v>75</v>
      </c>
      <c r="X1" s="5"/>
      <c r="Y1" s="5"/>
    </row>
    <row r="2" spans="1:26" ht="15" customHeight="1" x14ac:dyDescent="0.35">
      <c r="X2" s="5"/>
      <c r="Y2" s="5"/>
    </row>
    <row r="3" spans="1:26" ht="15" customHeight="1" x14ac:dyDescent="0.35">
      <c r="D3" s="88" t="str">
        <f>LEFT($D4, FIND(":",$D4)-1)</f>
        <v>Table B2</v>
      </c>
      <c r="X3" s="5"/>
      <c r="Y3" s="5"/>
    </row>
    <row r="4" spans="1:26" ht="15" customHeight="1" x14ac:dyDescent="0.35">
      <c r="D4" s="2" t="str">
        <f>ToC!$J$30</f>
        <v>Table B2: CT Operations and Maintenance Cost Escalation</v>
      </c>
      <c r="X4" s="5"/>
      <c r="Y4" s="5"/>
    </row>
    <row r="5" spans="1:26" ht="6" customHeight="1" thickBot="1" x14ac:dyDescent="0.4">
      <c r="D5" s="20"/>
      <c r="E5" s="20"/>
      <c r="F5" s="20"/>
      <c r="G5" s="44"/>
      <c r="H5" s="44"/>
      <c r="I5" s="44"/>
      <c r="J5" s="44"/>
      <c r="K5" s="44"/>
      <c r="L5" s="44"/>
      <c r="M5" s="44"/>
      <c r="N5" s="44"/>
      <c r="O5" s="44"/>
      <c r="P5" s="20"/>
      <c r="Q5" s="20"/>
      <c r="R5" s="20"/>
      <c r="S5" s="20"/>
      <c r="T5" s="20"/>
      <c r="U5" s="20"/>
      <c r="V5" s="44"/>
      <c r="X5" s="5"/>
      <c r="Y5" s="5"/>
    </row>
    <row r="6" spans="1:26" ht="6" customHeight="1" thickTop="1" x14ac:dyDescent="0.35">
      <c r="X6" s="5"/>
      <c r="Y6" s="5"/>
    </row>
    <row r="7" spans="1:26" s="152" customFormat="1" ht="15" customHeight="1" x14ac:dyDescent="0.35">
      <c r="A7" s="151">
        <v>1</v>
      </c>
      <c r="D7" s="361" t="str">
        <f>Control!$D$10</f>
        <v>Technology</v>
      </c>
      <c r="F7" s="213" t="str">
        <f>"["&amp;A7&amp;"]"</f>
        <v>[1]</v>
      </c>
      <c r="G7" s="313" t="str">
        <f>Control!$D$3</f>
        <v>Control Table</v>
      </c>
      <c r="H7" s="166" t="str">
        <f>Control!$I$10</f>
        <v>CT</v>
      </c>
      <c r="I7" s="166"/>
      <c r="J7" s="166"/>
      <c r="K7" s="166"/>
      <c r="L7" s="166"/>
      <c r="M7" s="166"/>
      <c r="N7" s="166"/>
      <c r="O7" s="166"/>
      <c r="V7" s="151"/>
      <c r="Z7" s="217" t="s">
        <v>174</v>
      </c>
    </row>
    <row r="8" spans="1:26" s="152" customFormat="1" ht="6" customHeight="1" x14ac:dyDescent="0.35">
      <c r="A8" s="313"/>
      <c r="D8" s="215"/>
      <c r="F8" s="213"/>
      <c r="G8" s="313"/>
      <c r="H8" s="166"/>
      <c r="I8" s="166"/>
      <c r="J8" s="166"/>
      <c r="K8" s="166"/>
      <c r="L8" s="166"/>
      <c r="M8" s="166"/>
      <c r="N8" s="166"/>
      <c r="O8" s="166"/>
      <c r="V8" s="313"/>
      <c r="Z8" s="214"/>
    </row>
    <row r="9" spans="1:26" s="152" customFormat="1" ht="15" customHeight="1" x14ac:dyDescent="0.35">
      <c r="D9" s="161" t="s">
        <v>215</v>
      </c>
      <c r="G9" s="313"/>
      <c r="H9" s="151"/>
      <c r="I9" s="313"/>
      <c r="J9" s="313"/>
      <c r="K9" s="292"/>
      <c r="L9" s="292"/>
      <c r="M9" s="292"/>
      <c r="N9" s="292"/>
      <c r="O9" s="292"/>
      <c r="V9" s="151"/>
      <c r="Z9" s="214"/>
    </row>
    <row r="10" spans="1:26" s="152" customFormat="1" ht="15" customHeight="1" x14ac:dyDescent="0.35">
      <c r="A10" s="151">
        <f>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6" s="152" customFormat="1" ht="15" customHeight="1" x14ac:dyDescent="0.35">
      <c r="A11" s="313">
        <f>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6" s="152" customFormat="1" ht="6" customHeight="1" x14ac:dyDescent="0.35">
      <c r="A12" s="313"/>
      <c r="D12" s="216"/>
      <c r="E12" s="313"/>
      <c r="F12" s="312"/>
      <c r="G12" s="313"/>
      <c r="H12" s="218"/>
      <c r="I12" s="218"/>
      <c r="J12" s="218"/>
      <c r="K12" s="218"/>
      <c r="L12" s="218"/>
      <c r="M12" s="218"/>
      <c r="N12" s="218"/>
      <c r="O12" s="218"/>
      <c r="V12" s="313"/>
      <c r="Z12" s="214"/>
    </row>
    <row r="13" spans="1:26" s="152" customFormat="1" ht="15" customHeight="1" x14ac:dyDescent="0.35">
      <c r="A13" s="151"/>
      <c r="D13" s="162" t="s">
        <v>213</v>
      </c>
      <c r="F13" s="213"/>
      <c r="G13" s="313"/>
      <c r="H13" s="153"/>
      <c r="I13" s="153"/>
      <c r="J13" s="153"/>
      <c r="K13" s="153"/>
      <c r="L13" s="153"/>
      <c r="M13" s="153"/>
      <c r="N13" s="153"/>
      <c r="O13" s="153"/>
      <c r="V13" s="151"/>
      <c r="Z13" s="214"/>
    </row>
    <row r="14" spans="1:26" s="152" customFormat="1" ht="15" customHeight="1" x14ac:dyDescent="0.35">
      <c r="A14" s="151">
        <f>MAX($A$10:A13)+1</f>
        <v>4</v>
      </c>
      <c r="D14" s="216" t="s">
        <v>93</v>
      </c>
      <c r="E14" s="152" t="s">
        <v>94</v>
      </c>
      <c r="F14" s="213" t="str">
        <f>"["&amp;A14&amp;"]"</f>
        <v>[4]</v>
      </c>
      <c r="G14" s="313" t="str">
        <f>'S&amp;L CC+CT - Cost Assumptions'!$D$3</f>
        <v>Table C7</v>
      </c>
      <c r="H14" s="154">
        <f>INDEX('S&amp;L CC+CT - Cost Assumptions'!$F$17:$J$64,MATCH($Z14,'S&amp;L CC+CT - Cost Assumptions'!$D$17:$D$64,0),MATCH(Control!$H$11,'S&amp;L CC+CT - Cost Assumptions'!$F$7:$J$7,0))</f>
        <v>6.0000000000000001E-3</v>
      </c>
      <c r="I14" s="168"/>
      <c r="J14" s="168"/>
      <c r="K14" s="168"/>
      <c r="L14" s="168"/>
      <c r="M14" s="168"/>
      <c r="N14" s="168"/>
      <c r="O14" s="168"/>
      <c r="V14" s="151"/>
      <c r="X14" s="79"/>
      <c r="Y14" s="79"/>
      <c r="Z14" s="219" t="str">
        <f>'S&amp;L CC+CT - Cost Assumptions'!$D$64</f>
        <v>Insurance</v>
      </c>
    </row>
    <row r="15" spans="1:26" s="152" customFormat="1" ht="15" customHeight="1" x14ac:dyDescent="0.35">
      <c r="A15" s="313">
        <f>MAX($A$10:A14)+1</f>
        <v>5</v>
      </c>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68"/>
      <c r="J15" s="168"/>
      <c r="K15" s="168"/>
      <c r="L15" s="168"/>
      <c r="M15" s="168"/>
      <c r="N15" s="168"/>
      <c r="O15" s="168"/>
      <c r="V15" s="313"/>
      <c r="X15" s="79"/>
      <c r="Y15" s="79"/>
      <c r="Z15" s="219"/>
    </row>
    <row r="16" spans="1:26" s="152" customFormat="1" ht="15" customHeight="1" x14ac:dyDescent="0.35">
      <c r="A16" s="313">
        <f>MAX($A$10:A15)+1</f>
        <v>6</v>
      </c>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68"/>
      <c r="J16" s="168"/>
      <c r="K16" s="168"/>
      <c r="L16" s="168"/>
      <c r="M16" s="168"/>
      <c r="N16" s="168"/>
      <c r="O16" s="168"/>
      <c r="V16" s="313"/>
      <c r="X16" s="79"/>
      <c r="Y16" s="79"/>
      <c r="Z16" s="219"/>
    </row>
    <row r="17" spans="1:26" s="152" customFormat="1" ht="6" customHeight="1" x14ac:dyDescent="0.35">
      <c r="A17" s="151"/>
      <c r="D17" s="151"/>
      <c r="F17" s="213"/>
      <c r="G17" s="313"/>
      <c r="H17" s="166"/>
      <c r="I17" s="166"/>
      <c r="J17" s="166"/>
      <c r="K17" s="166"/>
      <c r="L17" s="166"/>
      <c r="M17" s="166"/>
      <c r="N17" s="166"/>
      <c r="O17" s="166"/>
      <c r="V17" s="151"/>
      <c r="X17" s="79"/>
      <c r="Y17" s="79"/>
      <c r="Z17" s="214"/>
    </row>
    <row r="18" spans="1:26" s="152" customFormat="1" ht="15" customHeight="1" x14ac:dyDescent="0.35">
      <c r="A18" s="151"/>
      <c r="D18" s="231" t="s">
        <v>214</v>
      </c>
      <c r="F18" s="213"/>
      <c r="G18" s="313"/>
      <c r="H18" s="166"/>
      <c r="I18" s="166"/>
      <c r="J18" s="166"/>
      <c r="K18" s="166"/>
      <c r="L18" s="166"/>
      <c r="M18" s="166"/>
      <c r="N18" s="166"/>
      <c r="O18" s="166"/>
      <c r="V18" s="151"/>
      <c r="X18" s="79"/>
      <c r="Y18" s="79"/>
      <c r="Z18" s="214"/>
    </row>
    <row r="19" spans="1:26" s="152" customFormat="1" ht="15" customHeight="1" x14ac:dyDescent="0.35">
      <c r="A19" s="313">
        <f>MAX($A$10:A18)+1</f>
        <v>7</v>
      </c>
      <c r="D19" s="216" t="s">
        <v>512</v>
      </c>
      <c r="E19" s="313" t="str">
        <f>"%"</f>
        <v>%</v>
      </c>
      <c r="F19" s="213" t="str">
        <f>"["&amp;A19&amp;"]"</f>
        <v>[7]</v>
      </c>
      <c r="G19" s="313" t="str">
        <f>'Cumulative Inflation'!$D$3</f>
        <v>Table B9</v>
      </c>
      <c r="H19" s="154">
        <f>_xlfn.XLOOKUP($H$7,'Cumulative Inflation'!$H$7:$J$7,'Cumulative Inflation'!$H$20:$J$20)-1</f>
        <v>8.9329218702034474E-2</v>
      </c>
      <c r="I19" s="166"/>
      <c r="J19" s="166"/>
      <c r="K19" s="166"/>
      <c r="L19" s="166"/>
      <c r="M19" s="166"/>
      <c r="N19" s="166"/>
      <c r="O19" s="166"/>
      <c r="V19" s="313"/>
      <c r="X19" s="79"/>
      <c r="Y19" s="79"/>
      <c r="Z19" s="214"/>
    </row>
    <row r="20" spans="1:26" s="152" customFormat="1" ht="6" customHeight="1" x14ac:dyDescent="0.35">
      <c r="D20" s="155"/>
      <c r="E20" s="155"/>
      <c r="F20" s="155"/>
      <c r="G20" s="159"/>
      <c r="H20" s="159"/>
      <c r="I20" s="159"/>
      <c r="J20" s="159"/>
      <c r="K20" s="159"/>
      <c r="L20" s="159"/>
      <c r="M20" s="159"/>
      <c r="N20" s="159"/>
      <c r="O20" s="159"/>
      <c r="P20" s="155"/>
      <c r="Q20" s="155"/>
      <c r="R20" s="155"/>
      <c r="S20" s="155"/>
      <c r="T20" s="155"/>
      <c r="U20" s="155"/>
      <c r="V20" s="159"/>
      <c r="Z20" s="214"/>
    </row>
    <row r="21" spans="1:26" s="152" customFormat="1" ht="6" customHeight="1" x14ac:dyDescent="0.35">
      <c r="G21" s="313"/>
      <c r="H21" s="292"/>
      <c r="I21" s="313"/>
      <c r="J21" s="313"/>
      <c r="K21" s="292"/>
      <c r="L21" s="292"/>
      <c r="M21" s="292"/>
      <c r="N21" s="292"/>
      <c r="O21" s="292"/>
      <c r="V21" s="292"/>
      <c r="Z21" s="214"/>
    </row>
    <row r="22" spans="1:26" s="283" customFormat="1" ht="30" customHeight="1" x14ac:dyDescent="0.35">
      <c r="A22" s="246"/>
      <c r="D22" s="284"/>
      <c r="G22" s="284"/>
      <c r="H22" s="1153" t="s">
        <v>537</v>
      </c>
      <c r="I22" s="302"/>
      <c r="J22" s="302"/>
      <c r="K22" s="1598" t="s">
        <v>149</v>
      </c>
      <c r="L22" s="1598"/>
      <c r="M22" s="1598"/>
      <c r="N22" s="1598"/>
      <c r="O22" s="1598"/>
      <c r="Q22" s="302"/>
      <c r="R22" s="1598" t="s">
        <v>152</v>
      </c>
      <c r="S22" s="1598"/>
      <c r="T22" s="1598"/>
      <c r="U22" s="1598"/>
      <c r="V22" s="1598"/>
      <c r="Y22" s="303"/>
      <c r="Z22" s="304"/>
    </row>
    <row r="23" spans="1:26" s="283" customFormat="1" ht="6" customHeight="1" x14ac:dyDescent="0.35">
      <c r="A23" s="246"/>
      <c r="D23" s="284"/>
      <c r="G23" s="284"/>
      <c r="H23" s="302"/>
      <c r="I23" s="302"/>
      <c r="J23" s="302"/>
      <c r="K23" s="360"/>
      <c r="L23" s="360"/>
      <c r="M23" s="360"/>
      <c r="N23" s="360"/>
      <c r="O23" s="360"/>
      <c r="Q23" s="302"/>
      <c r="R23" s="360"/>
      <c r="S23" s="360"/>
      <c r="T23" s="360"/>
      <c r="U23" s="360"/>
      <c r="V23" s="360"/>
      <c r="Y23" s="303"/>
      <c r="Z23" s="304"/>
    </row>
    <row r="24" spans="1:26" s="161" customFormat="1" ht="15" customHeight="1" x14ac:dyDescent="0.35">
      <c r="A24" s="151"/>
      <c r="D24" s="162"/>
      <c r="G24" s="2129"/>
      <c r="H24" s="234" t="s">
        <v>10</v>
      </c>
      <c r="I24" s="354"/>
      <c r="J24" s="354"/>
      <c r="K24" s="166" t="str">
        <f>YEAR($H$10)&amp;"$"</f>
        <v>2025$</v>
      </c>
      <c r="L24" s="166" t="str">
        <f>YEAR($H$10)&amp;"$"</f>
        <v>2025$</v>
      </c>
      <c r="M24" s="166" t="str">
        <f>YEAR($H$10)&amp;"$"</f>
        <v>2025$</v>
      </c>
      <c r="N24" s="166" t="str">
        <f>YEAR($H$10)&amp;"$"</f>
        <v>2025$</v>
      </c>
      <c r="O24" s="166" t="str">
        <f>YEAR($H$10)&amp;"$"</f>
        <v>2025$</v>
      </c>
      <c r="Q24" s="354"/>
      <c r="R24" s="166" t="str">
        <f>YEAR($H$11)&amp;"$"</f>
        <v>2028$</v>
      </c>
      <c r="S24" s="166" t="str">
        <f>YEAR($H$11)&amp;"$"</f>
        <v>2028$</v>
      </c>
      <c r="T24" s="166" t="str">
        <f>YEAR($H$11)&amp;"$"</f>
        <v>2028$</v>
      </c>
      <c r="U24" s="166" t="str">
        <f>YEAR($H$11)&amp;"$"</f>
        <v>2028$</v>
      </c>
      <c r="V24" s="166" t="str">
        <f>YEAR($H$11)&amp;"$"</f>
        <v>2028$</v>
      </c>
      <c r="Y24" s="79"/>
      <c r="Z24" s="217"/>
    </row>
    <row r="25" spans="1:26" s="161" customFormat="1" ht="15" customHeight="1" x14ac:dyDescent="0.35">
      <c r="A25" s="151"/>
      <c r="D25" s="162"/>
      <c r="G25" s="2129"/>
      <c r="H25" s="234" t="str">
        <f>"["&amp;CHAR(H1)&amp;"]"</f>
        <v>[A]</v>
      </c>
      <c r="I25" s="354"/>
      <c r="J25" s="354"/>
      <c r="K25" s="234" t="str">
        <f>"["&amp;CHAR(K1)&amp;"]"</f>
        <v>[B]</v>
      </c>
      <c r="L25" s="234" t="str">
        <f>"["&amp;CHAR(L1)&amp;"]"</f>
        <v>[C]</v>
      </c>
      <c r="M25" s="234" t="str">
        <f>"["&amp;CHAR(M1)&amp;"]"</f>
        <v>[D]</v>
      </c>
      <c r="N25" s="234" t="str">
        <f>"["&amp;CHAR(N1)&amp;"]"</f>
        <v>[E]</v>
      </c>
      <c r="O25" s="234" t="str">
        <f>"["&amp;CHAR(O1)&amp;"]"</f>
        <v>[F]</v>
      </c>
      <c r="Q25" s="354"/>
      <c r="R25" s="166" t="str">
        <f>"["&amp;CHAR(R1)&amp;"]"</f>
        <v>[G]</v>
      </c>
      <c r="S25" s="166" t="str">
        <f>"["&amp;CHAR(S1)&amp;"]"</f>
        <v>[H]</v>
      </c>
      <c r="T25" s="166" t="str">
        <f>"["&amp;CHAR(T1)&amp;"]"</f>
        <v>[I]</v>
      </c>
      <c r="U25" s="166" t="str">
        <f>"["&amp;CHAR(U1)&amp;"]"</f>
        <v>[J]</v>
      </c>
      <c r="V25" s="166" t="str">
        <f>"["&amp;CHAR(V1)&amp;"]"</f>
        <v>[K]</v>
      </c>
      <c r="Y25" s="79"/>
      <c r="Z25" s="217"/>
    </row>
    <row r="26" spans="1:26" s="161" customFormat="1" ht="15" customHeight="1" x14ac:dyDescent="0.35">
      <c r="A26" s="151"/>
      <c r="D26" s="162"/>
      <c r="G26" s="2129"/>
      <c r="H26" s="234" t="str">
        <f>F19</f>
        <v>[7]</v>
      </c>
      <c r="I26" s="354"/>
      <c r="J26" s="354"/>
      <c r="K26" s="166"/>
      <c r="L26" s="166"/>
      <c r="M26" s="166"/>
      <c r="N26" s="166"/>
      <c r="O26" s="166"/>
      <c r="Q26" s="354"/>
      <c r="R26" s="166" t="s">
        <v>39</v>
      </c>
      <c r="S26" s="166" t="s">
        <v>39</v>
      </c>
      <c r="T26" s="166" t="s">
        <v>39</v>
      </c>
      <c r="U26" s="166" t="s">
        <v>39</v>
      </c>
      <c r="V26" s="166" t="s">
        <v>39</v>
      </c>
      <c r="Y26" s="79"/>
      <c r="Z26" s="217"/>
    </row>
    <row r="27" spans="1:26" s="152" customFormat="1" ht="6" customHeight="1" x14ac:dyDescent="0.35">
      <c r="A27" s="151"/>
      <c r="D27" s="159"/>
      <c r="E27" s="155"/>
      <c r="F27" s="155"/>
      <c r="G27" s="159"/>
      <c r="H27" s="155"/>
      <c r="I27" s="204"/>
      <c r="J27" s="204"/>
      <c r="K27" s="159"/>
      <c r="L27" s="159"/>
      <c r="M27" s="159"/>
      <c r="N27" s="159"/>
      <c r="O27" s="159"/>
      <c r="Q27" s="204"/>
      <c r="R27" s="159"/>
      <c r="S27" s="159"/>
      <c r="T27" s="159"/>
      <c r="U27" s="159"/>
      <c r="V27" s="159"/>
      <c r="Y27" s="79"/>
      <c r="Z27" s="214"/>
    </row>
    <row r="28" spans="1:26" s="152" customFormat="1" ht="6" customHeight="1" x14ac:dyDescent="0.35">
      <c r="A28" s="151"/>
      <c r="D28" s="151"/>
      <c r="G28" s="313"/>
      <c r="I28" s="204"/>
      <c r="J28" s="204"/>
      <c r="K28" s="151"/>
      <c r="L28" s="292"/>
      <c r="M28" s="292"/>
      <c r="N28" s="292"/>
      <c r="O28" s="292"/>
      <c r="Q28" s="204"/>
      <c r="R28" s="292"/>
      <c r="S28" s="292"/>
      <c r="T28" s="292"/>
      <c r="U28" s="292"/>
      <c r="V28" s="292"/>
      <c r="Y28" s="79"/>
      <c r="Z28" s="214"/>
    </row>
    <row r="29" spans="1:26" s="152" customFormat="1" ht="15" customHeight="1" x14ac:dyDescent="0.35">
      <c r="A29" s="292"/>
      <c r="D29" s="2201" t="s">
        <v>298</v>
      </c>
      <c r="F29" s="213"/>
      <c r="G29" s="313"/>
      <c r="K29" s="220" t="s">
        <v>288</v>
      </c>
      <c r="L29" s="220" t="s">
        <v>289</v>
      </c>
      <c r="M29" s="220" t="s">
        <v>290</v>
      </c>
      <c r="N29" s="220" t="s">
        <v>291</v>
      </c>
      <c r="O29" s="220" t="s">
        <v>299</v>
      </c>
      <c r="R29" s="220" t="s">
        <v>288</v>
      </c>
      <c r="S29" s="220" t="s">
        <v>289</v>
      </c>
      <c r="T29" s="220" t="s">
        <v>290</v>
      </c>
      <c r="U29" s="220" t="s">
        <v>291</v>
      </c>
      <c r="V29" s="220" t="s">
        <v>299</v>
      </c>
      <c r="X29" s="79"/>
      <c r="Y29" s="79"/>
      <c r="Z29" s="241"/>
    </row>
    <row r="30" spans="1:26" s="152" customFormat="1" ht="15" customHeight="1" x14ac:dyDescent="0.35">
      <c r="A30" s="292"/>
      <c r="D30" s="2201"/>
      <c r="F30" s="213"/>
      <c r="G30" s="313"/>
      <c r="K30" s="248">
        <v>1</v>
      </c>
      <c r="L30" s="248">
        <v>2</v>
      </c>
      <c r="M30" s="248">
        <v>3</v>
      </c>
      <c r="N30" s="248">
        <v>4</v>
      </c>
      <c r="O30" s="248">
        <v>5</v>
      </c>
      <c r="R30" s="248">
        <v>1</v>
      </c>
      <c r="S30" s="248">
        <v>2</v>
      </c>
      <c r="T30" s="248">
        <v>3</v>
      </c>
      <c r="U30" s="248">
        <v>4</v>
      </c>
      <c r="V30" s="248">
        <v>5</v>
      </c>
      <c r="X30" s="79"/>
      <c r="Y30" s="79"/>
      <c r="Z30" s="241"/>
    </row>
    <row r="31" spans="1:26" s="152" customFormat="1" ht="6" customHeight="1" x14ac:dyDescent="0.35">
      <c r="A31" s="292"/>
      <c r="D31" s="159"/>
      <c r="E31" s="155"/>
      <c r="F31" s="155"/>
      <c r="G31" s="159"/>
      <c r="H31" s="155"/>
      <c r="I31" s="204"/>
      <c r="J31" s="204"/>
      <c r="K31" s="155"/>
      <c r="L31" s="155"/>
      <c r="M31" s="155"/>
      <c r="N31" s="155"/>
      <c r="O31" s="155"/>
      <c r="P31" s="155"/>
      <c r="Q31" s="204"/>
      <c r="R31" s="155"/>
      <c r="S31" s="155"/>
      <c r="T31" s="155"/>
      <c r="U31" s="155"/>
      <c r="V31" s="155"/>
      <c r="X31" s="79"/>
      <c r="Y31" s="79"/>
      <c r="Z31" s="241"/>
    </row>
    <row r="32" spans="1:26" s="152" customFormat="1" ht="6" customHeight="1" x14ac:dyDescent="0.35">
      <c r="A32" s="151"/>
      <c r="D32" s="246"/>
      <c r="E32" s="204"/>
      <c r="F32" s="204"/>
      <c r="G32" s="246"/>
      <c r="I32" s="204"/>
      <c r="J32" s="204"/>
      <c r="K32" s="246"/>
      <c r="L32" s="246"/>
      <c r="M32" s="246"/>
      <c r="N32" s="246"/>
      <c r="O32" s="246"/>
      <c r="P32" s="204"/>
      <c r="Q32" s="204"/>
      <c r="R32" s="204"/>
      <c r="S32" s="204"/>
      <c r="T32" s="204"/>
      <c r="U32" s="204"/>
      <c r="V32" s="246"/>
      <c r="X32" s="79"/>
      <c r="Y32" s="79"/>
      <c r="Z32" s="214"/>
    </row>
    <row r="33" spans="1:26" s="161" customFormat="1" ht="15" customHeight="1" x14ac:dyDescent="0.35">
      <c r="D33" s="162" t="s">
        <v>208</v>
      </c>
      <c r="G33" s="2129"/>
      <c r="H33" s="162"/>
      <c r="I33" s="162"/>
      <c r="J33" s="162"/>
      <c r="K33" s="162"/>
      <c r="L33" s="162"/>
      <c r="M33" s="162"/>
      <c r="N33" s="162"/>
      <c r="O33" s="162"/>
      <c r="V33" s="162"/>
      <c r="Z33" s="217" t="s">
        <v>175</v>
      </c>
    </row>
    <row r="34" spans="1:26" s="152" customFormat="1" ht="15" customHeight="1" x14ac:dyDescent="0.35">
      <c r="A34" s="151">
        <f>MAX($A$10:A33)+1</f>
        <v>8</v>
      </c>
      <c r="D34" s="215" t="str">
        <f>Control!$D$42</f>
        <v>Net Summer Capacity</v>
      </c>
      <c r="E34" s="152" t="s">
        <v>4</v>
      </c>
      <c r="F34" s="213" t="str">
        <f>"["&amp;A34&amp;"]"</f>
        <v>[8]</v>
      </c>
      <c r="G34" s="313" t="str">
        <f>'S&amp;L CC+CT - Cost Assumptions'!$D$3</f>
        <v>Table C7</v>
      </c>
      <c r="I34" s="288"/>
      <c r="J34" s="288"/>
      <c r="K34" s="167">
        <f>'S&amp;L CC+CT - Cost Assumptions'!F$13</f>
        <v>391.786</v>
      </c>
      <c r="L34" s="167">
        <f>'S&amp;L CC+CT - Cost Assumptions'!G$13</f>
        <v>394.51</v>
      </c>
      <c r="M34" s="167">
        <f>'S&amp;L CC+CT - Cost Assumptions'!H$13</f>
        <v>386.65899999999999</v>
      </c>
      <c r="N34" s="167">
        <f>'S&amp;L CC+CT - Cost Assumptions'!I$13</f>
        <v>382.91800000000001</v>
      </c>
      <c r="O34" s="167">
        <f>'S&amp;L CC+CT - Cost Assumptions'!J$13</f>
        <v>392.53399999999999</v>
      </c>
      <c r="R34" s="167">
        <f>K34</f>
        <v>391.786</v>
      </c>
      <c r="S34" s="167">
        <f t="shared" ref="S34:V34" si="0">L34</f>
        <v>394.51</v>
      </c>
      <c r="T34" s="167">
        <f t="shared" si="0"/>
        <v>386.65899999999999</v>
      </c>
      <c r="U34" s="167">
        <f t="shared" si="0"/>
        <v>382.91800000000001</v>
      </c>
      <c r="V34" s="167">
        <f t="shared" si="0"/>
        <v>392.53399999999999</v>
      </c>
      <c r="Z34" s="214"/>
    </row>
    <row r="35" spans="1:26" s="152" customFormat="1" ht="6" customHeight="1" x14ac:dyDescent="0.35">
      <c r="A35" s="151"/>
      <c r="D35" s="279"/>
      <c r="E35" s="263"/>
      <c r="F35" s="264"/>
      <c r="G35" s="265"/>
      <c r="H35" s="155"/>
      <c r="I35" s="295"/>
      <c r="J35" s="295"/>
      <c r="K35" s="280"/>
      <c r="L35" s="280"/>
      <c r="M35" s="280"/>
      <c r="N35" s="280"/>
      <c r="O35" s="280"/>
      <c r="R35" s="155"/>
      <c r="S35" s="155"/>
      <c r="T35" s="155"/>
      <c r="U35" s="155"/>
      <c r="V35" s="159"/>
      <c r="Z35" s="214"/>
    </row>
    <row r="36" spans="1:26" s="152" customFormat="1" ht="6" customHeight="1" x14ac:dyDescent="0.35">
      <c r="A36" s="292"/>
      <c r="D36" s="300"/>
      <c r="E36" s="268"/>
      <c r="F36" s="269"/>
      <c r="G36" s="270"/>
      <c r="I36" s="295"/>
      <c r="J36" s="295"/>
      <c r="K36" s="281"/>
      <c r="L36" s="281"/>
      <c r="M36" s="281"/>
      <c r="N36" s="281"/>
      <c r="O36" s="281"/>
      <c r="R36" s="313"/>
      <c r="S36" s="313"/>
      <c r="T36" s="313"/>
      <c r="U36" s="313"/>
      <c r="V36" s="313"/>
      <c r="Z36" s="214"/>
    </row>
    <row r="37" spans="1:26" s="152" customFormat="1" ht="15" customHeight="1" x14ac:dyDescent="0.35">
      <c r="A37" s="151">
        <f>MAX($A$10:A36)+1</f>
        <v>9</v>
      </c>
      <c r="D37" s="162" t="s">
        <v>151</v>
      </c>
      <c r="E37" s="152" t="str">
        <f>"Nominal$"</f>
        <v>Nominal$</v>
      </c>
      <c r="F37" s="213" t="str">
        <f>"["&amp;A37&amp;"]"</f>
        <v>[9]</v>
      </c>
      <c r="G37" s="313" t="str">
        <f>'CT Capital Costs'!$D$3</f>
        <v>Table B6</v>
      </c>
      <c r="I37" s="204"/>
      <c r="J37" s="204"/>
      <c r="K37" s="153" cm="1">
        <f t="array" ref="K37">INDEX('CT Capital Costs'!$K$9:$O$76, MATCH($D37, 'CT Capital Costs'!$D$9:$D$76, 0),K$30)</f>
        <v>539055433.28790128</v>
      </c>
      <c r="L37" s="153" cm="1">
        <f t="array" ref="L37">INDEX('CT Capital Costs'!$K$9:$O$76, MATCH($D37, 'CT Capital Costs'!$D$9:$D$76, 0),L$30)</f>
        <v>521324240.72456825</v>
      </c>
      <c r="M37" s="153" cm="1">
        <f t="array" ref="M37">INDEX('CT Capital Costs'!$K$9:$O$76, MATCH($D37, 'CT Capital Costs'!$D$9:$D$76, 0),M$30)</f>
        <v>519339434.58192456</v>
      </c>
      <c r="N37" s="153" cm="1">
        <f t="array" ref="N37">INDEX('CT Capital Costs'!$K$9:$O$76, MATCH($D37, 'CT Capital Costs'!$D$9:$D$76, 0),N$30)</f>
        <v>525294331.93338752</v>
      </c>
      <c r="O37" s="153" cm="1">
        <f t="array" ref="O37">INDEX('CT Capital Costs'!$K$9:$O$76, MATCH($D37, 'CT Capital Costs'!$D$9:$D$76, 0),O$30)</f>
        <v>578636214.19543529</v>
      </c>
      <c r="Q37" s="204"/>
      <c r="R37" s="153" cm="1">
        <f t="array" ref="R37">INDEX('CT Capital Costs'!$R$9:$V$76, MATCH('CT OM Costs'!$D37, 'CT Capital Costs'!$D$9:$D$76, 0),R$30)</f>
        <v>546557023.13575339</v>
      </c>
      <c r="S37" s="153" cm="1">
        <f t="array" ref="S37">INDEX('CT Capital Costs'!$R$9:$V$76, MATCH('CT OM Costs'!$D37, 'CT Capital Costs'!$D$9:$D$76, 0),S$30)</f>
        <v>528415641.50380033</v>
      </c>
      <c r="T37" s="153" cm="1">
        <f t="array" ref="T37">INDEX('CT Capital Costs'!$R$9:$V$76, MATCH('CT OM Costs'!$D37, 'CT Capital Costs'!$D$9:$D$76, 0),T$30)</f>
        <v>526261166.14845765</v>
      </c>
      <c r="U37" s="153" cm="1">
        <f t="array" ref="U37">INDEX('CT Capital Costs'!$R$9:$V$76, MATCH('CT OM Costs'!$D37, 'CT Capital Costs'!$D$9:$D$76, 0),U$30)</f>
        <v>532306444.32223254</v>
      </c>
      <c r="V37" s="153" cm="1">
        <f t="array" ref="V37">INDEX('CT Capital Costs'!$R$9:$V$76, MATCH('CT OM Costs'!$D37, 'CT Capital Costs'!$D$9:$D$76, 0),V$30)</f>
        <v>586897626.90406179</v>
      </c>
      <c r="Y37" s="79"/>
      <c r="Z37" s="214"/>
    </row>
    <row r="38" spans="1:26" s="152" customFormat="1" ht="6" customHeight="1" x14ac:dyDescent="0.35">
      <c r="A38" s="151"/>
      <c r="D38" s="313"/>
      <c r="G38" s="313"/>
      <c r="I38" s="204"/>
      <c r="J38" s="204"/>
      <c r="K38" s="313"/>
      <c r="L38" s="292"/>
      <c r="M38" s="292"/>
      <c r="N38" s="292"/>
      <c r="O38" s="292"/>
      <c r="Q38" s="204"/>
      <c r="R38" s="313"/>
      <c r="S38" s="313"/>
      <c r="T38" s="313"/>
      <c r="U38" s="313"/>
      <c r="V38" s="313"/>
      <c r="Y38" s="79"/>
      <c r="Z38" s="214"/>
    </row>
    <row r="39" spans="1:26" s="152" customFormat="1" ht="15" customHeight="1" x14ac:dyDescent="0.35">
      <c r="A39" s="151"/>
      <c r="D39" s="162" t="s">
        <v>157</v>
      </c>
      <c r="G39" s="313"/>
      <c r="I39" s="204"/>
      <c r="J39" s="204"/>
      <c r="K39" s="151"/>
      <c r="L39" s="292"/>
      <c r="M39" s="292"/>
      <c r="N39" s="292"/>
      <c r="O39" s="292"/>
      <c r="Q39" s="204"/>
      <c r="R39" s="313"/>
      <c r="S39" s="313"/>
      <c r="T39" s="313"/>
      <c r="U39" s="313"/>
      <c r="V39" s="313"/>
      <c r="Y39" s="79"/>
      <c r="Z39" s="214"/>
    </row>
    <row r="40" spans="1:26" s="152" customFormat="1" ht="15" customHeight="1" x14ac:dyDescent="0.35">
      <c r="A40" s="313">
        <f>MAX($A$10:A39)+1</f>
        <v>10</v>
      </c>
      <c r="D40" s="215" t="s">
        <v>221</v>
      </c>
      <c r="E40" s="152" t="str">
        <f>"$/year"</f>
        <v>$/year</v>
      </c>
      <c r="F40" s="213" t="str">
        <f t="shared" ref="F40:F45" si="1">"["&amp;A40&amp;"]"</f>
        <v>[10]</v>
      </c>
      <c r="G40" s="272" t="str">
        <f>'S&amp;L CC+CT - O&amp;M Costs'!$D$3</f>
        <v>Table C9</v>
      </c>
      <c r="H40" s="2089">
        <f>$H$19</f>
        <v>8.9329218702034474E-2</v>
      </c>
      <c r="I40" s="357"/>
      <c r="J40" s="357"/>
      <c r="K40" s="153">
        <f>INDEX('S&amp;L CC+CT - O&amp;M Costs'!$F$13:$J$27,MATCH($Z40,'S&amp;L CC+CT - O&amp;M Costs'!$D$13:$D$27,0),MATCH(K$29,'S&amp;L CC+CT - O&amp;M Costs'!$F$8:$J$8,0))</f>
        <v>422000</v>
      </c>
      <c r="L40" s="153">
        <f>INDEX('S&amp;L CC+CT - O&amp;M Costs'!$F$13:$J$27,MATCH($Z40,'S&amp;L CC+CT - O&amp;M Costs'!$D$13:$D$27,0),MATCH(L$29,'S&amp;L CC+CT - O&amp;M Costs'!$F$8:$J$8,0))</f>
        <v>422000</v>
      </c>
      <c r="M40" s="153">
        <f>INDEX('S&amp;L CC+CT - O&amp;M Costs'!$F$13:$J$27,MATCH($Z40,'S&amp;L CC+CT - O&amp;M Costs'!$D$13:$D$27,0),MATCH(M$29,'S&amp;L CC+CT - O&amp;M Costs'!$F$8:$J$8,0))</f>
        <v>422000</v>
      </c>
      <c r="N40" s="153">
        <f>INDEX('S&amp;L CC+CT - O&amp;M Costs'!$F$13:$J$27,MATCH($Z40,'S&amp;L CC+CT - O&amp;M Costs'!$D$13:$D$27,0),MATCH(N$29,'S&amp;L CC+CT - O&amp;M Costs'!$F$8:$J$8,0))</f>
        <v>422000</v>
      </c>
      <c r="O40" s="153">
        <f>INDEX('S&amp;L CC+CT - O&amp;M Costs'!$F$13:$J$27,MATCH($Z40,'S&amp;L CC+CT - O&amp;M Costs'!$D$13:$D$27,0),MATCH(O$29,'S&amp;L CC+CT - O&amp;M Costs'!$F$8:$J$8,0))</f>
        <v>422000</v>
      </c>
      <c r="P40" s="204"/>
      <c r="Q40" s="357"/>
      <c r="R40" s="153">
        <f t="shared" ref="R40:V44" si="2">K40*(1+$H40)</f>
        <v>459696.93029225856</v>
      </c>
      <c r="S40" s="153">
        <f t="shared" si="2"/>
        <v>459696.93029225856</v>
      </c>
      <c r="T40" s="153">
        <f t="shared" si="2"/>
        <v>459696.93029225856</v>
      </c>
      <c r="U40" s="153">
        <f t="shared" si="2"/>
        <v>459696.93029225856</v>
      </c>
      <c r="V40" s="153">
        <f t="shared" si="2"/>
        <v>459696.93029225856</v>
      </c>
      <c r="Y40" s="79"/>
      <c r="Z40" s="219" t="str">
        <f>'S&amp;L CC+CT - O&amp;M Costs'!$D13</f>
        <v xml:space="preserve">     Major Maintenance - LTSA Fixed Payments</v>
      </c>
    </row>
    <row r="41" spans="1:26" s="152" customFormat="1" ht="15" customHeight="1" x14ac:dyDescent="0.35">
      <c r="A41" s="313">
        <f>MAX($A$10:A40)+1</f>
        <v>11</v>
      </c>
      <c r="D41" s="215" t="s">
        <v>97</v>
      </c>
      <c r="E41" s="152" t="str">
        <f t="shared" ref="E41:E47" si="3">"$/year"</f>
        <v>$/year</v>
      </c>
      <c r="F41" s="213" t="str">
        <f t="shared" si="1"/>
        <v>[11]</v>
      </c>
      <c r="G41" s="313" t="str">
        <f>'S&amp;L CC+CT - O&amp;M Costs'!$D$3</f>
        <v>Table C9</v>
      </c>
      <c r="H41" s="160">
        <f>$H$19</f>
        <v>8.9329218702034474E-2</v>
      </c>
      <c r="I41" s="357"/>
      <c r="J41" s="357"/>
      <c r="K41" s="153">
        <f>INDEX('S&amp;L CC+CT - O&amp;M Costs'!$F$13:$J$27,MATCH($Z41,'S&amp;L CC+CT - O&amp;M Costs'!$D$13:$D$27,0),MATCH(K$29,'S&amp;L CC+CT - O&amp;M Costs'!$F$8:$J$8,0))</f>
        <v>1091000</v>
      </c>
      <c r="L41" s="153">
        <f>INDEX('S&amp;L CC+CT - O&amp;M Costs'!$F$13:$J$27,MATCH($Z41,'S&amp;L CC+CT - O&amp;M Costs'!$D$13:$D$27,0),MATCH(L$29,'S&amp;L CC+CT - O&amp;M Costs'!$F$8:$J$8,0))</f>
        <v>1160000</v>
      </c>
      <c r="M41" s="153">
        <f>INDEX('S&amp;L CC+CT - O&amp;M Costs'!$F$13:$J$27,MATCH($Z41,'S&amp;L CC+CT - O&amp;M Costs'!$D$13:$D$27,0),MATCH(M$29,'S&amp;L CC+CT - O&amp;M Costs'!$F$8:$J$8,0))</f>
        <v>795000</v>
      </c>
      <c r="N41" s="153">
        <f>INDEX('S&amp;L CC+CT - O&amp;M Costs'!$F$13:$J$27,MATCH($Z41,'S&amp;L CC+CT - O&amp;M Costs'!$D$13:$D$27,0),MATCH(N$29,'S&amp;L CC+CT - O&amp;M Costs'!$F$8:$J$8,0))</f>
        <v>951000</v>
      </c>
      <c r="O41" s="153">
        <f>INDEX('S&amp;L CC+CT - O&amp;M Costs'!$F$13:$J$27,MATCH($Z41,'S&amp;L CC+CT - O&amp;M Costs'!$D$13:$D$27,0),MATCH(O$29,'S&amp;L CC+CT - O&amp;M Costs'!$F$8:$J$8,0))</f>
        <v>1049000</v>
      </c>
      <c r="P41" s="204"/>
      <c r="Q41" s="357"/>
      <c r="R41" s="153">
        <f t="shared" si="2"/>
        <v>1188458.1776039195</v>
      </c>
      <c r="S41" s="153">
        <f t="shared" si="2"/>
        <v>1263621.89369436</v>
      </c>
      <c r="T41" s="153">
        <f t="shared" si="2"/>
        <v>866016.72886811744</v>
      </c>
      <c r="U41" s="153">
        <f t="shared" si="2"/>
        <v>1035952.0869856348</v>
      </c>
      <c r="V41" s="153">
        <f t="shared" si="2"/>
        <v>1142706.3504184342</v>
      </c>
      <c r="Y41" s="79"/>
      <c r="Z41" s="219" t="str">
        <f>'S&amp;L CC+CT - O&amp;M Costs'!$D14</f>
        <v xml:space="preserve">     Labor </v>
      </c>
    </row>
    <row r="42" spans="1:26" s="152" customFormat="1" ht="15" customHeight="1" x14ac:dyDescent="0.35">
      <c r="A42" s="313">
        <f>MAX($A$10:A41)+1</f>
        <v>12</v>
      </c>
      <c r="D42" s="215" t="s">
        <v>153</v>
      </c>
      <c r="E42" s="152" t="str">
        <f t="shared" si="3"/>
        <v>$/year</v>
      </c>
      <c r="F42" s="213" t="str">
        <f t="shared" si="1"/>
        <v>[12]</v>
      </c>
      <c r="G42" s="313" t="str">
        <f>'S&amp;L CC+CT - O&amp;M Costs'!$D$3</f>
        <v>Table C9</v>
      </c>
      <c r="H42" s="160">
        <f>$H$19</f>
        <v>8.9329218702034474E-2</v>
      </c>
      <c r="I42" s="357"/>
      <c r="J42" s="357"/>
      <c r="K42" s="153">
        <f>INDEX('S&amp;L CC+CT - O&amp;M Costs'!$F$13:$J$27,MATCH($Z42,'S&amp;L CC+CT - O&amp;M Costs'!$D$13:$D$27,0),MATCH(K$29,'S&amp;L CC+CT - O&amp;M Costs'!$F$8:$J$8,0))</f>
        <v>481000</v>
      </c>
      <c r="L42" s="153">
        <f>INDEX('S&amp;L CC+CT - O&amp;M Costs'!$F$13:$J$27,MATCH($Z42,'S&amp;L CC+CT - O&amp;M Costs'!$D$13:$D$27,0),MATCH(L$29,'S&amp;L CC+CT - O&amp;M Costs'!$F$8:$J$8,0))</f>
        <v>491000</v>
      </c>
      <c r="M42" s="153">
        <f>INDEX('S&amp;L CC+CT - O&amp;M Costs'!$F$13:$J$27,MATCH($Z42,'S&amp;L CC+CT - O&amp;M Costs'!$D$13:$D$27,0),MATCH(M$29,'S&amp;L CC+CT - O&amp;M Costs'!$F$8:$J$8,0))</f>
        <v>432600</v>
      </c>
      <c r="N42" s="153">
        <f>INDEX('S&amp;L CC+CT - O&amp;M Costs'!$F$13:$J$27,MATCH($Z42,'S&amp;L CC+CT - O&amp;M Costs'!$D$13:$D$27,0),MATCH(N$29,'S&amp;L CC+CT - O&amp;M Costs'!$F$8:$J$8,0))</f>
        <v>459000</v>
      </c>
      <c r="O42" s="153">
        <f>INDEX('S&amp;L CC+CT - O&amp;M Costs'!$F$13:$J$27,MATCH($Z42,'S&amp;L CC+CT - O&amp;M Costs'!$D$13:$D$27,0),MATCH(O$29,'S&amp;L CC+CT - O&amp;M Costs'!$F$8:$J$8,0))</f>
        <v>475000</v>
      </c>
      <c r="P42" s="204"/>
      <c r="Q42" s="357"/>
      <c r="R42" s="153">
        <f t="shared" si="2"/>
        <v>523967.35419567861</v>
      </c>
      <c r="S42" s="153">
        <f t="shared" si="2"/>
        <v>534860.64638269891</v>
      </c>
      <c r="T42" s="153">
        <f t="shared" si="2"/>
        <v>471243.82001050009</v>
      </c>
      <c r="U42" s="153">
        <f t="shared" si="2"/>
        <v>500002.11138423381</v>
      </c>
      <c r="V42" s="153">
        <f t="shared" si="2"/>
        <v>517431.37888346636</v>
      </c>
      <c r="Y42" s="79"/>
      <c r="Z42" s="219" t="str">
        <f>'S&amp;L CC+CT - O&amp;M Costs'!$D15</f>
        <v xml:space="preserve">     Maintenance, Supplies, and Minor Repairs</v>
      </c>
    </row>
    <row r="43" spans="1:26" s="152" customFormat="1" ht="15" customHeight="1" x14ac:dyDescent="0.35">
      <c r="A43" s="313">
        <f>MAX($A$10:A42)+1</f>
        <v>13</v>
      </c>
      <c r="D43" s="215" t="s">
        <v>154</v>
      </c>
      <c r="E43" s="152" t="str">
        <f t="shared" si="3"/>
        <v>$/year</v>
      </c>
      <c r="F43" s="213" t="str">
        <f t="shared" si="1"/>
        <v>[13]</v>
      </c>
      <c r="G43" s="313" t="str">
        <f>'S&amp;L CC+CT - O&amp;M Costs'!$D$3</f>
        <v>Table C9</v>
      </c>
      <c r="H43" s="160">
        <f>$H$19</f>
        <v>8.9329218702034474E-2</v>
      </c>
      <c r="I43" s="357"/>
      <c r="J43" s="357"/>
      <c r="K43" s="153">
        <f>INDEX('S&amp;L CC+CT - O&amp;M Costs'!$F$13:$J$27,MATCH($Z43,'S&amp;L CC+CT - O&amp;M Costs'!$D$13:$D$27,0),MATCH(K$29,'S&amp;L CC+CT - O&amp;M Costs'!$F$8:$J$8,0))</f>
        <v>258000</v>
      </c>
      <c r="L43" s="153">
        <f>INDEX('S&amp;L CC+CT - O&amp;M Costs'!$F$13:$J$27,MATCH($Z43,'S&amp;L CC+CT - O&amp;M Costs'!$D$13:$D$27,0),MATCH(L$29,'S&amp;L CC+CT - O&amp;M Costs'!$F$8:$J$8,0))</f>
        <v>258000</v>
      </c>
      <c r="M43" s="153">
        <f>INDEX('S&amp;L CC+CT - O&amp;M Costs'!$F$13:$J$27,MATCH($Z43,'S&amp;L CC+CT - O&amp;M Costs'!$D$13:$D$27,0),MATCH(M$29,'S&amp;L CC+CT - O&amp;M Costs'!$F$8:$J$8,0))</f>
        <v>258000</v>
      </c>
      <c r="N43" s="153">
        <f>INDEX('S&amp;L CC+CT - O&amp;M Costs'!$F$13:$J$27,MATCH($Z43,'S&amp;L CC+CT - O&amp;M Costs'!$D$13:$D$27,0),MATCH(N$29,'S&amp;L CC+CT - O&amp;M Costs'!$F$8:$J$8,0))</f>
        <v>258000</v>
      </c>
      <c r="O43" s="153">
        <f>INDEX('S&amp;L CC+CT - O&amp;M Costs'!$F$13:$J$27,MATCH($Z43,'S&amp;L CC+CT - O&amp;M Costs'!$D$13:$D$27,0),MATCH(O$29,'S&amp;L CC+CT - O&amp;M Costs'!$F$8:$J$8,0))</f>
        <v>258000</v>
      </c>
      <c r="P43" s="204"/>
      <c r="Q43" s="357"/>
      <c r="R43" s="153">
        <f t="shared" si="2"/>
        <v>281046.93842512491</v>
      </c>
      <c r="S43" s="153">
        <f t="shared" si="2"/>
        <v>281046.93842512491</v>
      </c>
      <c r="T43" s="153">
        <f t="shared" si="2"/>
        <v>281046.93842512491</v>
      </c>
      <c r="U43" s="153">
        <f t="shared" si="2"/>
        <v>281046.93842512491</v>
      </c>
      <c r="V43" s="153">
        <f t="shared" si="2"/>
        <v>281046.93842512491</v>
      </c>
      <c r="Y43" s="79"/>
      <c r="Z43" s="219" t="str">
        <f>'S&amp;L CC+CT - O&amp;M Costs'!$D16</f>
        <v xml:space="preserve">     Administrative and General</v>
      </c>
    </row>
    <row r="44" spans="1:26" s="152" customFormat="1" ht="15" customHeight="1" x14ac:dyDescent="0.35">
      <c r="A44" s="313">
        <f>MAX($A$10:A43)+1</f>
        <v>14</v>
      </c>
      <c r="D44" s="215" t="s">
        <v>155</v>
      </c>
      <c r="E44" s="152" t="str">
        <f t="shared" si="3"/>
        <v>$/year</v>
      </c>
      <c r="F44" s="213" t="str">
        <f t="shared" si="1"/>
        <v>[14]</v>
      </c>
      <c r="G44" s="313" t="str">
        <f>'S&amp;L CC+CT - O&amp;M Costs'!$D$3</f>
        <v>Table C9</v>
      </c>
      <c r="H44" s="160">
        <f>$H$19</f>
        <v>8.9329218702034474E-2</v>
      </c>
      <c r="I44" s="357"/>
      <c r="J44" s="357"/>
      <c r="K44" s="153">
        <f>INDEX('S&amp;L CC+CT - O&amp;M Costs'!$F$13:$J$27,MATCH($Z44,'S&amp;L CC+CT - O&amp;M Costs'!$D$13:$D$27,0),MATCH(K$29,'S&amp;L CC+CT - O&amp;M Costs'!$F$8:$J$8,0))</f>
        <v>586000</v>
      </c>
      <c r="L44" s="153">
        <f>INDEX('S&amp;L CC+CT - O&amp;M Costs'!$F$13:$J$27,MATCH($Z44,'S&amp;L CC+CT - O&amp;M Costs'!$D$13:$D$27,0),MATCH(L$29,'S&amp;L CC+CT - O&amp;M Costs'!$F$8:$J$8,0))</f>
        <v>628000</v>
      </c>
      <c r="M44" s="153">
        <f>INDEX('S&amp;L CC+CT - O&amp;M Costs'!$F$13:$J$27,MATCH($Z44,'S&amp;L CC+CT - O&amp;M Costs'!$D$13:$D$27,0),MATCH(M$29,'S&amp;L CC+CT - O&amp;M Costs'!$F$8:$J$8,0))</f>
        <v>421000</v>
      </c>
      <c r="N44" s="153">
        <f>INDEX('S&amp;L CC+CT - O&amp;M Costs'!$F$13:$J$27,MATCH($Z44,'S&amp;L CC+CT - O&amp;M Costs'!$D$13:$D$27,0),MATCH(N$29,'S&amp;L CC+CT - O&amp;M Costs'!$F$8:$J$8,0))</f>
        <v>499000</v>
      </c>
      <c r="O44" s="153">
        <f>INDEX('S&amp;L CC+CT - O&amp;M Costs'!$F$13:$J$27,MATCH($Z44,'S&amp;L CC+CT - O&amp;M Costs'!$D$13:$D$27,0),MATCH(O$29,'S&amp;L CC+CT - O&amp;M Costs'!$F$8:$J$8,0))</f>
        <v>565000</v>
      </c>
      <c r="P44" s="204"/>
      <c r="Q44" s="357"/>
      <c r="R44" s="153">
        <f t="shared" si="2"/>
        <v>638346.92215939215</v>
      </c>
      <c r="S44" s="153">
        <f t="shared" si="2"/>
        <v>684098.74934487767</v>
      </c>
      <c r="T44" s="153">
        <f t="shared" si="2"/>
        <v>458607.60107355652</v>
      </c>
      <c r="U44" s="153">
        <f t="shared" si="2"/>
        <v>543575.28013231524</v>
      </c>
      <c r="V44" s="153">
        <f t="shared" si="2"/>
        <v>615471.00856664951</v>
      </c>
      <c r="Y44" s="79"/>
      <c r="Z44" s="219" t="str">
        <f>'S&amp;L CC+CT - O&amp;M Costs'!$D17</f>
        <v xml:space="preserve">     Asset Management</v>
      </c>
    </row>
    <row r="45" spans="1:26" s="152" customFormat="1" ht="15" customHeight="1" x14ac:dyDescent="0.35">
      <c r="A45" s="313">
        <f>MAX($A$10:A44)+1</f>
        <v>15</v>
      </c>
      <c r="D45" s="215" t="s">
        <v>93</v>
      </c>
      <c r="E45" s="152" t="str">
        <f t="shared" si="3"/>
        <v>$/year</v>
      </c>
      <c r="F45" s="213" t="str">
        <f t="shared" si="1"/>
        <v>[15]</v>
      </c>
      <c r="G45" s="313" t="str">
        <f>F14&amp;" x "&amp;F37</f>
        <v>[4] x [9]</v>
      </c>
      <c r="H45" s="160"/>
      <c r="I45" s="357"/>
      <c r="J45" s="357"/>
      <c r="K45" s="276">
        <f>K37*$H$14</f>
        <v>3234332.5997274076</v>
      </c>
      <c r="L45" s="276">
        <f>L37*$H$14</f>
        <v>3127945.4443474095</v>
      </c>
      <c r="M45" s="276">
        <f>M37*$H$14</f>
        <v>3116036.6074915472</v>
      </c>
      <c r="N45" s="276">
        <f>N37*$H$14</f>
        <v>3151765.9916003253</v>
      </c>
      <c r="O45" s="276">
        <f>O37*$H$14</f>
        <v>3471817.2851726119</v>
      </c>
      <c r="P45" s="204"/>
      <c r="Q45" s="357"/>
      <c r="R45" s="276">
        <f>R37*$H$14</f>
        <v>3279342.1388145206</v>
      </c>
      <c r="S45" s="276">
        <f>S37*$H$14</f>
        <v>3170493.849022802</v>
      </c>
      <c r="T45" s="276">
        <f>T37*$H$14</f>
        <v>3157566.9968907461</v>
      </c>
      <c r="U45" s="276">
        <f>U37*$H$14</f>
        <v>3193838.6659333953</v>
      </c>
      <c r="V45" s="276">
        <f>V37*$H$14</f>
        <v>3521385.761424371</v>
      </c>
      <c r="Y45" s="79"/>
      <c r="Z45" s="219" t="str">
        <f>'S&amp;L CC+CT - O&amp;M Costs'!$D18</f>
        <v xml:space="preserve">     Insurance  </v>
      </c>
    </row>
    <row r="46" spans="1:26" s="152" customFormat="1" ht="15" customHeight="1" x14ac:dyDescent="0.35">
      <c r="A46" s="313">
        <f>MAX($A$10:A45)+1</f>
        <v>16</v>
      </c>
      <c r="D46" s="215" t="s">
        <v>156</v>
      </c>
      <c r="E46" s="152" t="str">
        <f t="shared" si="3"/>
        <v>$/year</v>
      </c>
      <c r="F46" s="312" t="str">
        <f>"["&amp;A46&amp;"]"</f>
        <v>[16]</v>
      </c>
      <c r="G46" s="313" t="str">
        <f>'Annual Property Tax Costs'!$D$3</f>
        <v>Table B5</v>
      </c>
      <c r="H46" s="154"/>
      <c r="I46" s="328"/>
      <c r="J46" s="328"/>
      <c r="K46" s="153">
        <f>INDEX('Annual Property Tax Costs'!$44:$44,1,MATCH($H$7&amp;"_"&amp;K$29,'Annual Property Tax Costs'!$27:$27,0))</f>
        <v>465237.73447830498</v>
      </c>
      <c r="L46" s="153">
        <f>INDEX('Annual Property Tax Costs'!$44:$44,1,MATCH($H$7&amp;"_"&amp;L$29,'Annual Property Tax Costs'!$27:$27,0))</f>
        <v>6583378.484899574</v>
      </c>
      <c r="M46" s="153">
        <f>INDEX('Annual Property Tax Costs'!$44:$44,1,MATCH($H$7&amp;"_"&amp;M$29,'Annual Property Tax Costs'!$27:$27,0))</f>
        <v>3342594.6215823069</v>
      </c>
      <c r="N46" s="153">
        <f>INDEX('Annual Property Tax Costs'!$44:$44,1,MATCH($H$7&amp;"_"&amp;N$29,'Annual Property Tax Costs'!$27:$27,0))</f>
        <v>586328.04595785239</v>
      </c>
      <c r="O46" s="153">
        <f>INDEX('Annual Property Tax Costs'!$44:$44,1,MATCH($H$7&amp;"_"&amp;O$29,'Annual Property Tax Costs'!$27:$27,0))</f>
        <v>438666.59502814809</v>
      </c>
      <c r="P46" s="246"/>
      <c r="Q46" s="328"/>
      <c r="R46" s="153">
        <f ca="1">INDEX('Annual Property Tax Costs'!$46:$46,1,MATCH($H$7&amp;"_"&amp;R$29,'Annual Property Tax Costs'!$27:$27,0))</f>
        <v>483657.18342174165</v>
      </c>
      <c r="S46" s="153">
        <f ca="1">INDEX('Annual Property Tax Costs'!$46:$46,1,MATCH($H$7&amp;"_"&amp;S$29,'Annual Property Tax Costs'!$27:$27,0))</f>
        <v>6674929.6153737307</v>
      </c>
      <c r="T46" s="153">
        <f ca="1">INDEX('Annual Property Tax Costs'!$46:$46,1,MATCH($H$7&amp;"_"&amp;T$29,'Annual Property Tax Costs'!$27:$27,0))</f>
        <v>3394898.7717805561</v>
      </c>
      <c r="U46" s="153">
        <f ca="1">INDEX('Annual Property Tax Costs'!$46:$46,1,MATCH($H$7&amp;"_"&amp;U$29,'Annual Property Tax Costs'!$27:$27,0))</f>
        <v>609541.63915174094</v>
      </c>
      <c r="V46" s="153">
        <f ca="1">INDEX('Annual Property Tax Costs'!$46:$46,1,MATCH($H$7&amp;"_"&amp;V$29,'Annual Property Tax Costs'!$27:$27,0))</f>
        <v>456034.05332207325</v>
      </c>
      <c r="Y46" s="79"/>
      <c r="Z46" s="219" t="str">
        <f>'S&amp;L CC+CT - O&amp;M Costs'!$D19</f>
        <v xml:space="preserve">     Property Taxes</v>
      </c>
    </row>
    <row r="47" spans="1:26" s="152" customFormat="1" ht="15" customHeight="1" x14ac:dyDescent="0.35">
      <c r="A47" s="313">
        <f>MAX($A$10:A46)+1</f>
        <v>17</v>
      </c>
      <c r="D47" s="215" t="s">
        <v>648</v>
      </c>
      <c r="E47" s="152" t="str">
        <f t="shared" si="3"/>
        <v>$/year</v>
      </c>
      <c r="F47" s="213" t="str">
        <f>"["&amp;A47&amp;"]"</f>
        <v>[17]</v>
      </c>
      <c r="G47" s="313" t="str">
        <f>F15&amp;" x "&amp;F16&amp;" x "&amp;F37</f>
        <v>[5] x [6] x [9]</v>
      </c>
      <c r="H47" s="160"/>
      <c r="I47" s="357"/>
      <c r="J47" s="357"/>
      <c r="K47" s="153">
        <f>$H$15*K37*$H$16</f>
        <v>158055.39417265615</v>
      </c>
      <c r="L47" s="153">
        <f t="shared" ref="L47:O47" si="4">$H$15*L37*$H$16</f>
        <v>152856.46571987105</v>
      </c>
      <c r="M47" s="153">
        <f t="shared" si="4"/>
        <v>152274.50457476504</v>
      </c>
      <c r="N47" s="153">
        <f t="shared" si="4"/>
        <v>154020.52843431957</v>
      </c>
      <c r="O47" s="153">
        <f t="shared" si="4"/>
        <v>169660.79788752907</v>
      </c>
      <c r="P47" s="246"/>
      <c r="Q47" s="328"/>
      <c r="R47" s="153">
        <f>$H$15*R37*$H$16</f>
        <v>160254.92072800879</v>
      </c>
      <c r="S47" s="153">
        <f t="shared" ref="S47:V47" si="5">$H$15*S37*$H$16</f>
        <v>154935.72153696101</v>
      </c>
      <c r="T47" s="153">
        <f t="shared" si="5"/>
        <v>154304.01201230791</v>
      </c>
      <c r="U47" s="153">
        <f t="shared" si="5"/>
        <v>156076.53625682107</v>
      </c>
      <c r="V47" s="153">
        <f t="shared" si="5"/>
        <v>172083.11062468233</v>
      </c>
      <c r="Y47" s="79"/>
      <c r="Z47" s="219"/>
    </row>
    <row r="48" spans="1:26" s="152" customFormat="1" ht="6" customHeight="1" x14ac:dyDescent="0.35">
      <c r="A48" s="151"/>
      <c r="D48" s="215"/>
      <c r="F48" s="213"/>
      <c r="G48" s="313"/>
      <c r="H48" s="160"/>
      <c r="I48" s="357"/>
      <c r="J48" s="357"/>
      <c r="K48" s="153"/>
      <c r="L48" s="153"/>
      <c r="M48" s="153"/>
      <c r="N48" s="153"/>
      <c r="O48" s="153"/>
      <c r="Q48" s="357"/>
      <c r="R48" s="153"/>
      <c r="S48" s="153"/>
      <c r="T48" s="153"/>
      <c r="U48" s="153"/>
      <c r="V48" s="153"/>
      <c r="Y48" s="79"/>
      <c r="Z48" s="214"/>
    </row>
    <row r="49" spans="1:28" s="152" customFormat="1" ht="15" customHeight="1" x14ac:dyDescent="0.35">
      <c r="A49" s="151"/>
      <c r="D49" s="235" t="s">
        <v>220</v>
      </c>
      <c r="F49" s="213"/>
      <c r="G49" s="313"/>
      <c r="H49" s="160"/>
      <c r="I49" s="357"/>
      <c r="J49" s="357"/>
      <c r="K49" s="153"/>
      <c r="L49" s="153"/>
      <c r="M49" s="153"/>
      <c r="N49" s="153"/>
      <c r="O49" s="153"/>
      <c r="Q49" s="357"/>
      <c r="R49" s="153"/>
      <c r="S49" s="153"/>
      <c r="T49" s="153"/>
      <c r="U49" s="153"/>
      <c r="V49" s="153"/>
      <c r="Y49" s="79"/>
      <c r="Z49" s="214"/>
    </row>
    <row r="50" spans="1:28" s="152" customFormat="1" ht="15" customHeight="1" x14ac:dyDescent="0.35">
      <c r="A50" s="151">
        <f>MAX($A$10:A49)+1</f>
        <v>18</v>
      </c>
      <c r="D50" s="223" t="s">
        <v>158</v>
      </c>
      <c r="E50" s="161" t="str">
        <f>"$/year"</f>
        <v>$/year</v>
      </c>
      <c r="F50" s="224" t="str">
        <f>"["&amp;A50&amp;"]"</f>
        <v>[18]</v>
      </c>
      <c r="G50" s="2129" t="str">
        <f>"SUM("&amp;$F$40&amp;":"&amp;$F$47&amp;")"</f>
        <v>SUM([10]:[17])</v>
      </c>
      <c r="H50" s="161"/>
      <c r="I50" s="283"/>
      <c r="J50" s="283"/>
      <c r="K50" s="164">
        <f>SUM(K$40:K$47)</f>
        <v>6695625.7283783685</v>
      </c>
      <c r="L50" s="164">
        <f>SUM(L$40:L$47)</f>
        <v>12823180.394966856</v>
      </c>
      <c r="M50" s="164">
        <f>SUM(M$40:M$47)</f>
        <v>8939505.7336486187</v>
      </c>
      <c r="N50" s="164">
        <f>SUM(N$40:N$47)</f>
        <v>6481114.5659924969</v>
      </c>
      <c r="O50" s="164">
        <f>SUM(O$40:O$47)</f>
        <v>6849144.6780882888</v>
      </c>
      <c r="Q50" s="283"/>
      <c r="R50" s="164">
        <f ca="1">SUM(R$40:R$47)</f>
        <v>7014770.5656406442</v>
      </c>
      <c r="S50" s="164">
        <f ca="1">SUM(S$40:S$47)</f>
        <v>13223684.344072813</v>
      </c>
      <c r="T50" s="164">
        <f ca="1">SUM(T$40:T$47)</f>
        <v>9243381.7993531674</v>
      </c>
      <c r="U50" s="164">
        <f ca="1">SUM(U$40:U$47)</f>
        <v>6779730.1885615243</v>
      </c>
      <c r="V50" s="164">
        <f ca="1">SUM(V$40:V$47)</f>
        <v>7165855.5319570601</v>
      </c>
      <c r="Y50" s="79"/>
      <c r="Z50" s="214"/>
    </row>
    <row r="51" spans="1:28" s="152" customFormat="1" ht="15" customHeight="1" x14ac:dyDescent="0.35">
      <c r="A51" s="151">
        <f>MAX($A$10:A50)+1</f>
        <v>19</v>
      </c>
      <c r="D51" s="223" t="s">
        <v>158</v>
      </c>
      <c r="E51" s="161" t="str">
        <f>"$/kW-yr"</f>
        <v>$/kW-yr</v>
      </c>
      <c r="F51" s="224" t="str">
        <f>"["&amp;A51&amp;"]"</f>
        <v>[19]</v>
      </c>
      <c r="G51" s="2129" t="str">
        <f>$F$50&amp;" / ("&amp;$F$34&amp;" x 1000)"</f>
        <v>[18] / ([8] x 1000)</v>
      </c>
      <c r="H51" s="161"/>
      <c r="I51" s="283"/>
      <c r="J51" s="283"/>
      <c r="K51" s="236">
        <f>K$50/(K$34*1000)</f>
        <v>17.090007627578242</v>
      </c>
      <c r="L51" s="236">
        <f>L$50/(L$34*1000)</f>
        <v>32.504069339096233</v>
      </c>
      <c r="M51" s="236">
        <f>M$50/(M$34*1000)</f>
        <v>23.119869791337116</v>
      </c>
      <c r="N51" s="236">
        <f>N$50/(N$34*1000)</f>
        <v>16.925593902591409</v>
      </c>
      <c r="O51" s="236">
        <f>O$50/(O$34*1000)</f>
        <v>17.448538669486691</v>
      </c>
      <c r="Q51" s="283"/>
      <c r="R51" s="377">
        <f ca="1">R$50/(R$34*1000)</f>
        <v>17.904597320069232</v>
      </c>
      <c r="S51" s="377">
        <f ca="1">S$50/(S$34*1000)</f>
        <v>33.519262741306463</v>
      </c>
      <c r="T51" s="377">
        <f ca="1">T$50/(T$34*1000)</f>
        <v>23.905771750698076</v>
      </c>
      <c r="U51" s="377">
        <f ca="1">U$50/(U$34*1000)</f>
        <v>17.705436120948935</v>
      </c>
      <c r="V51" s="377">
        <f ca="1">V$50/(V$34*1000)</f>
        <v>18.255375411956823</v>
      </c>
      <c r="Y51" s="79"/>
      <c r="Z51" s="214"/>
    </row>
    <row r="52" spans="1:28" s="152" customFormat="1" ht="6" customHeight="1" x14ac:dyDescent="0.35">
      <c r="D52" s="159"/>
      <c r="E52" s="155"/>
      <c r="F52" s="155"/>
      <c r="G52" s="159"/>
      <c r="H52" s="155"/>
      <c r="I52" s="155"/>
      <c r="J52" s="155"/>
      <c r="K52" s="159"/>
      <c r="L52" s="159"/>
      <c r="M52" s="159"/>
      <c r="N52" s="159"/>
      <c r="O52" s="159"/>
      <c r="P52" s="155"/>
      <c r="Q52" s="155"/>
      <c r="R52" s="159"/>
      <c r="S52" s="159"/>
      <c r="T52" s="159"/>
      <c r="U52" s="159"/>
      <c r="V52" s="159"/>
      <c r="Y52" s="79"/>
      <c r="Z52" s="214"/>
    </row>
    <row r="53" spans="1:28" s="152" customFormat="1" ht="6" customHeight="1" x14ac:dyDescent="0.35">
      <c r="D53" s="313"/>
      <c r="G53" s="313"/>
      <c r="I53" s="204"/>
      <c r="J53" s="204"/>
      <c r="K53" s="151"/>
      <c r="L53" s="292"/>
      <c r="M53" s="292"/>
      <c r="N53" s="292"/>
      <c r="O53" s="292"/>
      <c r="Q53" s="204"/>
      <c r="R53" s="313"/>
      <c r="S53" s="313"/>
      <c r="T53" s="313"/>
      <c r="U53" s="313"/>
      <c r="V53" s="313"/>
      <c r="Y53" s="79"/>
      <c r="Z53" s="214"/>
    </row>
    <row r="54" spans="1:28" s="152" customFormat="1" ht="15" customHeight="1" x14ac:dyDescent="0.35">
      <c r="D54" s="162" t="s">
        <v>491</v>
      </c>
      <c r="G54" s="313"/>
      <c r="I54" s="204"/>
      <c r="J54" s="204"/>
      <c r="K54" s="151"/>
      <c r="L54" s="292"/>
      <c r="M54" s="292"/>
      <c r="N54" s="292"/>
      <c r="O54" s="292"/>
      <c r="Q54" s="204"/>
      <c r="R54" s="313"/>
      <c r="S54" s="313"/>
      <c r="T54" s="313"/>
      <c r="U54" s="313"/>
      <c r="V54" s="313"/>
      <c r="Y54" s="79"/>
      <c r="Z54" s="214"/>
    </row>
    <row r="55" spans="1:28" s="152" customFormat="1" ht="15" customHeight="1" x14ac:dyDescent="0.35">
      <c r="A55" s="151">
        <f>MAX($A$10:A54)+1</f>
        <v>20</v>
      </c>
      <c r="D55" s="216" t="s">
        <v>475</v>
      </c>
      <c r="E55" s="152" t="str">
        <f>"$/Start"</f>
        <v>$/Start</v>
      </c>
      <c r="F55" s="213" t="str">
        <f>"["&amp;A55&amp;"]"</f>
        <v>[20]</v>
      </c>
      <c r="G55" s="313" t="str">
        <f>'S&amp;L CC+CT - O&amp;M Costs'!$D$3</f>
        <v>Table C9</v>
      </c>
      <c r="H55" s="160">
        <f>$H$19</f>
        <v>8.9329218702034474E-2</v>
      </c>
      <c r="I55" s="160"/>
      <c r="J55" s="160"/>
      <c r="K55" s="153">
        <f>INDEX('S&amp;L CC+CT - O&amp;M Costs'!$F$13:$J$27,MATCH($Z55,'S&amp;L CC+CT - O&amp;M Costs'!$D$13:$D$27,0),MATCH(K$29,'S&amp;L CC+CT - O&amp;M Costs'!$F$8:$J$8,0))</f>
        <v>30300</v>
      </c>
      <c r="L55" s="153">
        <f>INDEX('S&amp;L CC+CT - O&amp;M Costs'!$F$13:$J$27,MATCH($Z55,'S&amp;L CC+CT - O&amp;M Costs'!$D$13:$D$27,0),MATCH(L$29,'S&amp;L CC+CT - O&amp;M Costs'!$F$8:$J$8,0))</f>
        <v>30300</v>
      </c>
      <c r="M55" s="153">
        <f>INDEX('S&amp;L CC+CT - O&amp;M Costs'!$F$13:$J$27,MATCH($Z55,'S&amp;L CC+CT - O&amp;M Costs'!$D$13:$D$27,0),MATCH(M$29,'S&amp;L CC+CT - O&amp;M Costs'!$F$8:$J$8,0))</f>
        <v>30300</v>
      </c>
      <c r="N55" s="153">
        <f>INDEX('S&amp;L CC+CT - O&amp;M Costs'!$F$13:$J$27,MATCH($Z55,'S&amp;L CC+CT - O&amp;M Costs'!$D$13:$D$27,0),MATCH(N$29,'S&amp;L CC+CT - O&amp;M Costs'!$F$8:$J$8,0))</f>
        <v>30300</v>
      </c>
      <c r="O55" s="153">
        <f>INDEX('S&amp;L CC+CT - O&amp;M Costs'!$F$13:$J$27,MATCH($Z55,'S&amp;L CC+CT - O&amp;M Costs'!$D$13:$D$27,0),MATCH(O$29,'S&amp;L CC+CT - O&amp;M Costs'!$F$8:$J$8,0))</f>
        <v>30300</v>
      </c>
      <c r="Q55" s="160"/>
      <c r="R55" s="153">
        <f>K$55*(1+$H55)</f>
        <v>33006.675326671648</v>
      </c>
      <c r="S55" s="153">
        <f>L$55*(1+$H55)</f>
        <v>33006.675326671648</v>
      </c>
      <c r="T55" s="153">
        <f>M$55*(1+$H55)</f>
        <v>33006.675326671648</v>
      </c>
      <c r="U55" s="153">
        <f>N$55*(1+$H55)</f>
        <v>33006.675326671648</v>
      </c>
      <c r="V55" s="153">
        <f>O$55*(1+$H55)</f>
        <v>33006.675326671648</v>
      </c>
      <c r="Z55" s="219" t="str">
        <f>'S&amp;L CC+CT - O&amp;M Costs'!$D$27</f>
        <v>CT Major Maintenance - Starts Based ($/factored start, per turbine)**</v>
      </c>
    </row>
    <row r="56" spans="1:28" s="152" customFormat="1" ht="15" customHeight="1" x14ac:dyDescent="0.35">
      <c r="A56" s="151">
        <f>MAX($A$10:A55)+1</f>
        <v>21</v>
      </c>
      <c r="D56" s="216" t="s">
        <v>115</v>
      </c>
      <c r="E56" s="152" t="str">
        <f>"$/MWh"</f>
        <v>$/MWh</v>
      </c>
      <c r="F56" s="213" t="str">
        <f>"["&amp;A56&amp;"]"</f>
        <v>[21]</v>
      </c>
      <c r="G56" s="313" t="str">
        <f>'S&amp;L CC+CT - O&amp;M Costs'!$D$3</f>
        <v>Table C9</v>
      </c>
      <c r="H56" s="160">
        <f>$H$19</f>
        <v>8.9329218702034474E-2</v>
      </c>
      <c r="I56" s="160"/>
      <c r="J56" s="160"/>
      <c r="K56" s="158">
        <f>INDEX('S&amp;L CC+CT - O&amp;M Costs'!$F$13:$J$27,MATCH($Z56,'S&amp;L CC+CT - O&amp;M Costs'!$D$13:$D$27,0),MATCH(K$29,'S&amp;L CC+CT - O&amp;M Costs'!$F$8:$J$8,0))</f>
        <v>1.009553916713104</v>
      </c>
      <c r="L56" s="158">
        <f>INDEX('S&amp;L CC+CT - O&amp;M Costs'!$F$13:$J$27,MATCH($Z56,'S&amp;L CC+CT - O&amp;M Costs'!$D$13:$D$27,0),MATCH(L$29,'S&amp;L CC+CT - O&amp;M Costs'!$F$8:$J$8,0))</f>
        <v>1.0049094929967211</v>
      </c>
      <c r="M56" s="158">
        <f>INDEX('S&amp;L CC+CT - O&amp;M Costs'!$F$13:$J$27,MATCH($Z56,'S&amp;L CC+CT - O&amp;M Costs'!$D$13:$D$27,0),MATCH(M$29,'S&amp;L CC+CT - O&amp;M Costs'!$F$8:$J$8,0))</f>
        <v>0.95109018751300345</v>
      </c>
      <c r="N56" s="158">
        <f>INDEX('S&amp;L CC+CT - O&amp;M Costs'!$F$13:$J$27,MATCH($Z56,'S&amp;L CC+CT - O&amp;M Costs'!$D$13:$D$27,0),MATCH(N$29,'S&amp;L CC+CT - O&amp;M Costs'!$F$8:$J$8,0))</f>
        <v>1.0251315920965061</v>
      </c>
      <c r="O56" s="158">
        <f>INDEX('S&amp;L CC+CT - O&amp;M Costs'!$F$13:$J$27,MATCH($Z56,'S&amp;L CC+CT - O&amp;M Costs'!$D$13:$D$27,0),MATCH(O$29,'S&amp;L CC+CT - O&amp;M Costs'!$F$8:$J$8,0))</f>
        <v>1.0082721556783929</v>
      </c>
      <c r="Q56" s="160"/>
      <c r="R56" s="158">
        <f>K$56*(1+$H56)</f>
        <v>1.0997365793306644</v>
      </c>
      <c r="S56" s="158">
        <f>L$56*(1+$H56)</f>
        <v>1.0946772728723757</v>
      </c>
      <c r="T56" s="158">
        <f>M$56*(1+$H56)</f>
        <v>1.0360503308787115</v>
      </c>
      <c r="U56" s="158">
        <f>N$56*(1+$H56)</f>
        <v>1.1167057962852596</v>
      </c>
      <c r="V56" s="158">
        <f>O$56*(1+$H56)</f>
        <v>1.0983403195841599</v>
      </c>
      <c r="Z56" s="219" t="str">
        <f>'S&amp;L CC+CT - O&amp;M Costs'!$D$25</f>
        <v xml:space="preserve">     Consumables, Waste Disposal, and Other VOM</v>
      </c>
    </row>
    <row r="57" spans="1:28" s="152" customFormat="1" ht="6" customHeight="1" thickBot="1" x14ac:dyDescent="0.4">
      <c r="D57" s="238"/>
      <c r="E57" s="237"/>
      <c r="F57" s="237"/>
      <c r="G57" s="238"/>
      <c r="H57" s="238"/>
      <c r="I57" s="238"/>
      <c r="J57" s="238"/>
      <c r="K57" s="238"/>
      <c r="L57" s="238"/>
      <c r="M57" s="238"/>
      <c r="N57" s="238"/>
      <c r="O57" s="238"/>
      <c r="P57" s="237"/>
      <c r="Q57" s="237"/>
      <c r="R57" s="238"/>
      <c r="S57" s="238"/>
      <c r="T57" s="238"/>
      <c r="U57" s="238"/>
      <c r="V57" s="238"/>
      <c r="Z57" s="214"/>
    </row>
    <row r="58" spans="1:28" ht="6" customHeight="1" thickTop="1" x14ac:dyDescent="0.35">
      <c r="D58" s="26"/>
      <c r="R58" s="26"/>
      <c r="S58" s="26"/>
      <c r="T58" s="26"/>
      <c r="U58" s="26"/>
      <c r="Z58" s="214"/>
      <c r="AA58" s="152"/>
      <c r="AB58" s="152"/>
    </row>
    <row r="59" spans="1:28" ht="15" customHeight="1" x14ac:dyDescent="0.35">
      <c r="D59" s="26" t="s">
        <v>50</v>
      </c>
      <c r="M59" s="973"/>
      <c r="R59" s="26"/>
      <c r="S59" s="26"/>
      <c r="T59" s="26"/>
      <c r="U59" s="26"/>
      <c r="Z59" s="214"/>
      <c r="AA59" s="152"/>
      <c r="AB59" s="152"/>
    </row>
    <row r="60" spans="1:28" s="1115" customFormat="1" ht="15" customHeight="1" x14ac:dyDescent="0.35">
      <c r="D60" s="404" t="s">
        <v>679</v>
      </c>
      <c r="Z60" s="214"/>
      <c r="AA60" s="152"/>
      <c r="AB60" s="152"/>
    </row>
    <row r="61" spans="1:28" ht="15" customHeight="1" x14ac:dyDescent="0.35">
      <c r="D61" s="93" t="str">
        <f>R25&amp;" to "&amp;V25&amp;": All cost components are escalated to the Online Date according to the Escalation Rate in "&amp;$H$25&amp;"."</f>
        <v>[G] to [K]: All cost components are escalated to the Online Date according to the Escalation Rate in [A].</v>
      </c>
      <c r="E61" s="147"/>
      <c r="F61" s="147"/>
      <c r="G61" s="147"/>
      <c r="H61" s="147"/>
      <c r="I61" s="147"/>
      <c r="J61" s="147"/>
      <c r="K61" s="147"/>
      <c r="L61" s="147"/>
      <c r="M61" s="147"/>
      <c r="N61" s="147"/>
      <c r="O61" s="147"/>
      <c r="P61" s="147"/>
      <c r="Q61" s="147"/>
      <c r="R61" s="147"/>
      <c r="S61" s="147"/>
      <c r="T61" s="147"/>
      <c r="U61" s="147"/>
      <c r="V61" s="147"/>
      <c r="Z61" s="214"/>
      <c r="AA61" s="152"/>
      <c r="AB61" s="152"/>
    </row>
    <row r="62" spans="1:28" ht="15" customHeight="1" x14ac:dyDescent="0.35">
      <c r="D62" s="27"/>
      <c r="E62" s="147"/>
      <c r="F62" s="147"/>
      <c r="G62" s="147"/>
      <c r="H62" s="147"/>
      <c r="I62" s="147"/>
      <c r="J62" s="147"/>
      <c r="K62" s="147"/>
      <c r="L62" s="147"/>
      <c r="M62" s="147"/>
      <c r="N62" s="147"/>
      <c r="O62" s="147"/>
      <c r="P62" s="147"/>
      <c r="Q62" s="147"/>
      <c r="R62" s="147"/>
      <c r="S62" s="147"/>
      <c r="T62" s="147"/>
      <c r="U62" s="147"/>
      <c r="V62" s="147"/>
      <c r="Z62" s="214"/>
      <c r="AA62" s="152"/>
      <c r="AB62" s="152"/>
    </row>
    <row r="63" spans="1:28" ht="15" customHeight="1" x14ac:dyDescent="0.35">
      <c r="D63" s="1458"/>
      <c r="E63" s="1456"/>
      <c r="F63" s="1456"/>
      <c r="G63" s="2064"/>
      <c r="H63" s="1456"/>
      <c r="I63" s="1456"/>
      <c r="J63" s="1456"/>
      <c r="K63" s="2065"/>
      <c r="L63" s="2065"/>
      <c r="M63" s="2065"/>
      <c r="N63" s="2065"/>
      <c r="O63" s="2065"/>
      <c r="P63" s="2065"/>
      <c r="Q63" s="2065"/>
      <c r="R63" s="346"/>
      <c r="S63" s="346"/>
      <c r="T63" s="346"/>
      <c r="U63" s="346"/>
      <c r="V63" s="346"/>
      <c r="Z63" s="214"/>
      <c r="AA63" s="152"/>
      <c r="AB63" s="152"/>
    </row>
    <row r="64" spans="1:28" ht="15" customHeight="1" x14ac:dyDescent="0.35">
      <c r="E64" s="145"/>
      <c r="F64" s="145"/>
      <c r="G64" s="2064"/>
      <c r="H64" s="145"/>
      <c r="I64" s="350"/>
      <c r="J64" s="350"/>
      <c r="K64" s="258"/>
      <c r="L64" s="258"/>
      <c r="M64" s="258"/>
      <c r="N64" s="258"/>
      <c r="O64" s="258"/>
      <c r="P64" s="145"/>
      <c r="Q64" s="258"/>
      <c r="R64" s="976"/>
      <c r="S64" s="976"/>
      <c r="T64" s="976"/>
      <c r="U64" s="976"/>
      <c r="V64" s="976"/>
      <c r="Z64" s="214"/>
      <c r="AA64" s="152"/>
      <c r="AB64" s="152"/>
    </row>
    <row r="65" spans="4:28" ht="15" customHeight="1" x14ac:dyDescent="0.35">
      <c r="E65" s="180"/>
      <c r="F65" s="180"/>
      <c r="G65" s="2064"/>
      <c r="H65" s="180"/>
      <c r="I65" s="350"/>
      <c r="J65" s="350"/>
      <c r="K65" s="258"/>
      <c r="L65" s="258"/>
      <c r="M65" s="258"/>
      <c r="N65" s="258"/>
      <c r="O65" s="258"/>
      <c r="P65" s="180"/>
      <c r="Q65" s="258"/>
      <c r="R65" s="976"/>
      <c r="S65" s="976"/>
      <c r="T65" s="976"/>
      <c r="U65" s="976"/>
      <c r="V65" s="976"/>
      <c r="Z65" s="214"/>
      <c r="AA65" s="152"/>
      <c r="AB65" s="152"/>
    </row>
    <row r="66" spans="4:28" ht="15" customHeight="1" x14ac:dyDescent="0.35">
      <c r="D66" s="93"/>
      <c r="E66" s="180"/>
      <c r="F66" s="180"/>
      <c r="G66" s="2064"/>
      <c r="H66" s="180"/>
      <c r="I66" s="350"/>
      <c r="J66" s="350"/>
      <c r="K66" s="258"/>
      <c r="L66" s="258"/>
      <c r="M66" s="258"/>
      <c r="N66" s="258"/>
      <c r="O66" s="258"/>
      <c r="P66" s="180"/>
      <c r="Q66" s="258"/>
      <c r="R66" s="976"/>
      <c r="S66" s="976"/>
      <c r="T66" s="976"/>
      <c r="U66" s="976"/>
      <c r="V66" s="976"/>
      <c r="Z66" s="214"/>
      <c r="AA66" s="152"/>
      <c r="AB66" s="152"/>
    </row>
    <row r="67" spans="4:28" ht="15" customHeight="1" x14ac:dyDescent="0.35">
      <c r="D67" s="93"/>
      <c r="E67" s="180"/>
      <c r="F67" s="180"/>
      <c r="G67" s="2064"/>
      <c r="H67" s="180"/>
      <c r="I67" s="350"/>
      <c r="J67" s="350"/>
      <c r="K67" s="258"/>
      <c r="L67" s="1091"/>
      <c r="M67" s="1091"/>
      <c r="N67" s="1091"/>
      <c r="O67" s="258"/>
      <c r="P67" s="180"/>
      <c r="Q67" s="258"/>
      <c r="R67" s="976"/>
      <c r="S67" s="976"/>
      <c r="T67" s="976"/>
      <c r="U67" s="976"/>
      <c r="V67" s="976"/>
      <c r="Z67" s="214"/>
      <c r="AA67" s="152"/>
      <c r="AB67" s="152"/>
    </row>
    <row r="68" spans="4:28" ht="15" customHeight="1" x14ac:dyDescent="0.35">
      <c r="D68" s="93"/>
      <c r="E68" s="180"/>
      <c r="F68" s="180"/>
      <c r="G68" s="2064"/>
      <c r="H68" s="180"/>
      <c r="I68" s="350"/>
      <c r="J68" s="350"/>
      <c r="K68" s="1091"/>
      <c r="L68" s="1091"/>
      <c r="M68" s="1091"/>
      <c r="N68" s="1091"/>
      <c r="O68" s="258"/>
      <c r="P68" s="180"/>
      <c r="Q68" s="258"/>
      <c r="R68" s="258"/>
      <c r="S68" s="258"/>
      <c r="T68" s="258"/>
      <c r="U68" s="258"/>
      <c r="V68" s="180"/>
      <c r="Z68" s="214"/>
      <c r="AA68" s="152"/>
      <c r="AB68" s="152"/>
    </row>
    <row r="69" spans="4:28" ht="15" customHeight="1" x14ac:dyDescent="0.35">
      <c r="D69" s="93"/>
      <c r="E69" s="180"/>
      <c r="F69" s="180"/>
      <c r="G69" s="2064"/>
      <c r="H69" s="180"/>
      <c r="I69" s="350"/>
      <c r="J69" s="350"/>
      <c r="K69" s="1091"/>
      <c r="L69" s="1091"/>
      <c r="M69" s="1091"/>
      <c r="N69" s="1091"/>
      <c r="O69" s="258"/>
      <c r="P69" s="180"/>
      <c r="Q69" s="258"/>
      <c r="R69" s="258"/>
      <c r="S69" s="258"/>
      <c r="T69" s="258"/>
      <c r="U69" s="258"/>
      <c r="V69" s="180"/>
      <c r="Z69" s="214"/>
      <c r="AA69" s="152"/>
      <c r="AB69" s="152"/>
    </row>
    <row r="70" spans="4:28" ht="15" customHeight="1" x14ac:dyDescent="0.35">
      <c r="D70" s="93"/>
      <c r="E70" s="180"/>
      <c r="F70" s="180"/>
      <c r="G70" s="2064"/>
      <c r="H70" s="180"/>
      <c r="I70" s="350"/>
      <c r="J70" s="350"/>
      <c r="K70" s="1091"/>
      <c r="L70" s="1091"/>
      <c r="M70" s="1091"/>
      <c r="N70" s="1091"/>
      <c r="O70" s="258"/>
      <c r="P70" s="180"/>
      <c r="Q70" s="258"/>
      <c r="R70" s="258"/>
      <c r="S70" s="258"/>
      <c r="T70" s="258"/>
      <c r="U70" s="258"/>
      <c r="V70" s="180"/>
      <c r="Z70" s="214"/>
      <c r="AA70" s="152"/>
      <c r="AB70" s="152"/>
    </row>
    <row r="71" spans="4:28" ht="15" customHeight="1" x14ac:dyDescent="0.35">
      <c r="D71" s="27"/>
      <c r="K71" s="1091"/>
      <c r="L71" s="1091"/>
      <c r="M71" s="1091"/>
      <c r="N71" s="1091"/>
      <c r="Z71" s="214"/>
      <c r="AA71" s="152"/>
      <c r="AB71" s="152"/>
    </row>
    <row r="72" spans="4:28" ht="15" customHeight="1" x14ac:dyDescent="0.35">
      <c r="K72" s="1091"/>
      <c r="L72" s="1091"/>
      <c r="M72" s="1091"/>
      <c r="N72" s="1091"/>
    </row>
    <row r="73" spans="4:28" ht="15" customHeight="1" x14ac:dyDescent="0.35">
      <c r="K73" s="1091"/>
      <c r="L73" s="1091"/>
      <c r="M73" s="1091"/>
      <c r="N73" s="1091"/>
    </row>
    <row r="74" spans="4:28" ht="15" customHeight="1" x14ac:dyDescent="0.35">
      <c r="K74" s="1091"/>
      <c r="L74" s="1091"/>
      <c r="M74" s="1091"/>
      <c r="N74" s="1091"/>
    </row>
    <row r="75" spans="4:28" ht="15" customHeight="1" x14ac:dyDescent="0.35">
      <c r="K75" s="1091"/>
      <c r="L75" s="1091"/>
      <c r="M75" s="1091"/>
      <c r="N75" s="1091"/>
    </row>
    <row r="76" spans="4:28" ht="15" customHeight="1" x14ac:dyDescent="0.35">
      <c r="K76" s="1091"/>
      <c r="L76" s="1091"/>
      <c r="M76" s="1091"/>
      <c r="N76" s="1091"/>
    </row>
  </sheetData>
  <mergeCells count="1">
    <mergeCell ref="D29:D30"/>
  </mergeCells>
  <phoneticPr fontId="26" type="noConversion"/>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BBEC-2D40-4C8E-9B09-E86CA383663A}">
  <sheetPr codeName="Sheet26">
    <pageSetUpPr autoPageBreaks="0"/>
  </sheetPr>
  <dimension ref="A1:AJ75"/>
  <sheetViews>
    <sheetView showGridLines="0" zoomScale="70" zoomScaleNormal="70" workbookViewId="0"/>
  </sheetViews>
  <sheetFormatPr defaultColWidth="8.7265625" defaultRowHeight="15" customHeight="1" outlineLevelCol="1" x14ac:dyDescent="0.35"/>
  <cols>
    <col min="1" max="3" width="13.54296875" style="5" customWidth="1"/>
    <col min="4" max="4" width="47.54296875" style="5" customWidth="1"/>
    <col min="5" max="5" width="26.1796875" style="5" bestFit="1" customWidth="1"/>
    <col min="6" max="6" width="5.7265625" style="5" customWidth="1"/>
    <col min="7" max="7" width="14" style="26" bestFit="1" customWidth="1"/>
    <col min="8" max="8" width="13.54296875" style="26" bestFit="1"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13.54296875" style="5" customWidth="1"/>
    <col min="24" max="25" width="13.54296875" style="23" customWidth="1"/>
    <col min="26" max="26" width="63.1796875" style="36" hidden="1" customWidth="1" outlineLevel="1"/>
    <col min="27" max="27" width="8.7265625" style="5" collapsed="1"/>
    <col min="28" max="16384" width="8.7265625" style="5"/>
  </cols>
  <sheetData>
    <row r="1" spans="1:26" ht="15" customHeight="1" x14ac:dyDescent="0.35">
      <c r="A1" s="81" t="s">
        <v>275</v>
      </c>
      <c r="B1" s="414"/>
      <c r="H1" s="26">
        <f>65</f>
        <v>65</v>
      </c>
      <c r="K1" s="26">
        <f>MAX($H$1:H1)+1</f>
        <v>66</v>
      </c>
      <c r="L1" s="26">
        <f>MAX($H$1:K1)+1</f>
        <v>67</v>
      </c>
      <c r="M1" s="26">
        <f>MAX($H$1:L1)+1</f>
        <v>68</v>
      </c>
      <c r="N1" s="26">
        <f>MAX($H$1:M1)+1</f>
        <v>69</v>
      </c>
      <c r="O1" s="26">
        <f>MAX($H$1:N1)+1</f>
        <v>70</v>
      </c>
      <c r="P1" s="26"/>
      <c r="Q1" s="26"/>
      <c r="R1" s="26">
        <f>MAX($H$1:Q1)+1</f>
        <v>71</v>
      </c>
      <c r="S1" s="26">
        <f>MAX($H$1:R1)+1</f>
        <v>72</v>
      </c>
      <c r="T1" s="26">
        <f>MAX($H$1:S1)+1</f>
        <v>73</v>
      </c>
      <c r="U1" s="26">
        <f>MAX($H$1:T1)+1</f>
        <v>74</v>
      </c>
      <c r="V1" s="26">
        <f>MAX($H$1:U1)+1</f>
        <v>75</v>
      </c>
      <c r="X1" s="5"/>
      <c r="Y1" s="5"/>
    </row>
    <row r="2" spans="1:26" ht="15" customHeight="1" x14ac:dyDescent="0.35">
      <c r="X2" s="5"/>
      <c r="Y2" s="5"/>
    </row>
    <row r="3" spans="1:26" ht="15" customHeight="1" x14ac:dyDescent="0.35">
      <c r="D3" s="9" t="str">
        <f>LEFT($D4, FIND(":",$D4)-1)</f>
        <v>Table B3</v>
      </c>
      <c r="X3" s="5"/>
      <c r="Y3" s="5"/>
    </row>
    <row r="4" spans="1:26" ht="15" customHeight="1" x14ac:dyDescent="0.35">
      <c r="D4" s="2" t="str">
        <f>ToC!$J$31</f>
        <v>Table B3: CC Operations and Maintenance Cost Escalation</v>
      </c>
      <c r="X4" s="5"/>
      <c r="Y4" s="5"/>
    </row>
    <row r="5" spans="1:26" ht="6" customHeight="1" thickBot="1" x14ac:dyDescent="0.4">
      <c r="D5" s="20"/>
      <c r="E5" s="20"/>
      <c r="F5" s="20"/>
      <c r="G5" s="44"/>
      <c r="H5" s="44"/>
      <c r="I5" s="44"/>
      <c r="J5" s="44"/>
      <c r="K5" s="44"/>
      <c r="L5" s="44"/>
      <c r="M5" s="44"/>
      <c r="N5" s="44"/>
      <c r="O5" s="44"/>
      <c r="P5" s="20"/>
      <c r="Q5" s="20"/>
      <c r="R5" s="20"/>
      <c r="S5" s="20"/>
      <c r="T5" s="20"/>
      <c r="U5" s="20"/>
      <c r="V5" s="44"/>
      <c r="X5" s="5"/>
      <c r="Y5" s="5"/>
    </row>
    <row r="6" spans="1:26" ht="6" customHeight="1" thickTop="1" x14ac:dyDescent="0.35">
      <c r="X6" s="5"/>
      <c r="Y6" s="5"/>
    </row>
    <row r="7" spans="1:26" s="152" customFormat="1" ht="15" customHeight="1" x14ac:dyDescent="0.35">
      <c r="A7" s="151">
        <v>1</v>
      </c>
      <c r="D7" s="361" t="str">
        <f>Control!$D$10</f>
        <v>Technology</v>
      </c>
      <c r="F7" s="213" t="str">
        <f>"["&amp;A7&amp;"]"</f>
        <v>[1]</v>
      </c>
      <c r="G7" s="313" t="str">
        <f>Control!$D$3</f>
        <v>Control Table</v>
      </c>
      <c r="H7" s="166" t="str">
        <f>Control!$J$10</f>
        <v>CC</v>
      </c>
      <c r="I7" s="166"/>
      <c r="J7" s="166"/>
      <c r="K7" s="166"/>
      <c r="L7" s="166"/>
      <c r="M7" s="166"/>
      <c r="N7" s="166"/>
      <c r="O7" s="257"/>
      <c r="P7" s="204"/>
      <c r="Q7" s="204"/>
      <c r="V7" s="151"/>
      <c r="Y7" s="292"/>
      <c r="Z7" s="217" t="s">
        <v>174</v>
      </c>
    </row>
    <row r="8" spans="1:26" s="152" customFormat="1" ht="6" customHeight="1" x14ac:dyDescent="0.35">
      <c r="A8" s="313"/>
      <c r="D8" s="361"/>
      <c r="F8" s="213"/>
      <c r="G8" s="313"/>
      <c r="H8" s="166"/>
      <c r="I8" s="166"/>
      <c r="J8" s="166"/>
      <c r="K8" s="166"/>
      <c r="L8" s="166"/>
      <c r="M8" s="166"/>
      <c r="N8" s="166"/>
      <c r="O8" s="257"/>
      <c r="P8" s="204"/>
      <c r="Q8" s="204"/>
      <c r="V8" s="313"/>
      <c r="Y8" s="313"/>
      <c r="Z8" s="214"/>
    </row>
    <row r="9" spans="1:26" s="152" customFormat="1" ht="15" customHeight="1" x14ac:dyDescent="0.35">
      <c r="D9" s="161" t="s">
        <v>215</v>
      </c>
      <c r="G9" s="313"/>
      <c r="H9" s="151"/>
      <c r="I9" s="313"/>
      <c r="J9" s="313"/>
      <c r="K9" s="292"/>
      <c r="L9" s="292"/>
      <c r="M9" s="292"/>
      <c r="N9" s="292"/>
      <c r="O9" s="292"/>
      <c r="V9" s="151"/>
      <c r="Z9" s="214"/>
    </row>
    <row r="10" spans="1:26" s="152" customFormat="1" ht="15" customHeight="1" x14ac:dyDescent="0.35">
      <c r="A10" s="151">
        <f>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6" s="152" customFormat="1" ht="15" customHeight="1" x14ac:dyDescent="0.35">
      <c r="A11" s="313">
        <f>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6" s="152" customFormat="1" ht="6" customHeight="1" x14ac:dyDescent="0.35">
      <c r="A12" s="292"/>
      <c r="D12" s="215"/>
      <c r="F12" s="213"/>
      <c r="G12" s="313"/>
      <c r="H12" s="167"/>
      <c r="I12" s="167"/>
      <c r="J12" s="167"/>
      <c r="K12" s="288"/>
      <c r="L12" s="288"/>
      <c r="M12" s="288"/>
      <c r="N12" s="288"/>
      <c r="O12" s="288"/>
      <c r="P12" s="204"/>
      <c r="Q12" s="204"/>
      <c r="V12" s="292"/>
      <c r="Z12" s="214"/>
    </row>
    <row r="13" spans="1:26" s="152" customFormat="1" ht="15" customHeight="1" x14ac:dyDescent="0.35">
      <c r="A13" s="151"/>
      <c r="D13" s="162" t="s">
        <v>213</v>
      </c>
      <c r="F13" s="213"/>
      <c r="G13" s="313"/>
      <c r="H13" s="153"/>
      <c r="I13" s="153"/>
      <c r="J13" s="153"/>
      <c r="K13" s="356"/>
      <c r="L13" s="356"/>
      <c r="M13" s="356"/>
      <c r="N13" s="356"/>
      <c r="O13" s="356"/>
      <c r="P13" s="204"/>
      <c r="Q13" s="204"/>
      <c r="V13" s="151"/>
      <c r="Z13" s="214"/>
    </row>
    <row r="14" spans="1:26" s="152" customFormat="1" ht="15" customHeight="1" x14ac:dyDescent="0.35">
      <c r="A14" s="151">
        <f>MAX($A$10:A13)+1</f>
        <v>4</v>
      </c>
      <c r="D14" s="216" t="s">
        <v>93</v>
      </c>
      <c r="E14" s="152" t="s">
        <v>94</v>
      </c>
      <c r="F14" s="213" t="str">
        <f>"["&amp;A14&amp;"]"</f>
        <v>[4]</v>
      </c>
      <c r="G14" s="313" t="str">
        <f>'S&amp;L CC+CT - Cost Assumptions'!$D$3</f>
        <v>Table C7</v>
      </c>
      <c r="H14" s="154">
        <f>INDEX('S&amp;L CC+CT - Cost Assumptions'!$K$17:$O$64,MATCH($Z14,'S&amp;L CC+CT - Cost Assumptions'!$D$17:$D$64,0),MATCH(Control!$H$11,'S&amp;L CC+CT - Cost Assumptions'!$K$7:$O$7,0))</f>
        <v>6.0000000000000001E-3</v>
      </c>
      <c r="I14" s="168"/>
      <c r="J14" s="168"/>
      <c r="K14" s="371"/>
      <c r="L14" s="371"/>
      <c r="M14" s="371"/>
      <c r="N14" s="371"/>
      <c r="O14" s="371"/>
      <c r="P14" s="204"/>
      <c r="Q14" s="204"/>
      <c r="V14" s="151"/>
      <c r="X14" s="79"/>
      <c r="Y14" s="79"/>
      <c r="Z14" s="219" t="str">
        <f>'S&amp;L CC+CT - Cost Assumptions'!$D$64</f>
        <v>Insurance</v>
      </c>
    </row>
    <row r="15" spans="1:26" s="152" customFormat="1" ht="15" customHeight="1" x14ac:dyDescent="0.35">
      <c r="A15" s="313">
        <f>MAX($A$10:A14)+1</f>
        <v>5</v>
      </c>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68"/>
      <c r="J15" s="168"/>
      <c r="K15" s="371"/>
      <c r="L15" s="371"/>
      <c r="M15" s="371"/>
      <c r="N15" s="371"/>
      <c r="O15" s="371"/>
      <c r="P15" s="204"/>
      <c r="Q15" s="204"/>
      <c r="V15" s="313"/>
      <c r="X15" s="79"/>
      <c r="Y15" s="79"/>
      <c r="Z15" s="219"/>
    </row>
    <row r="16" spans="1:26" s="152" customFormat="1" ht="15" customHeight="1" x14ac:dyDescent="0.35">
      <c r="A16" s="313">
        <f>MAX($A$10:A15)+1</f>
        <v>6</v>
      </c>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68"/>
      <c r="J16" s="168"/>
      <c r="K16" s="371"/>
      <c r="L16" s="371"/>
      <c r="M16" s="371"/>
      <c r="N16" s="371"/>
      <c r="O16" s="371"/>
      <c r="P16" s="204"/>
      <c r="Q16" s="204"/>
      <c r="V16" s="313"/>
      <c r="X16" s="79"/>
      <c r="Y16" s="79"/>
      <c r="Z16" s="219"/>
    </row>
    <row r="17" spans="1:36" s="152" customFormat="1" ht="6" customHeight="1" x14ac:dyDescent="0.35">
      <c r="A17" s="151"/>
      <c r="D17" s="376"/>
      <c r="E17" s="260"/>
      <c r="F17" s="366"/>
      <c r="G17" s="261"/>
      <c r="H17" s="295"/>
      <c r="I17" s="295"/>
      <c r="J17" s="295"/>
      <c r="K17" s="295"/>
      <c r="L17" s="295"/>
      <c r="M17" s="295"/>
      <c r="N17" s="295"/>
      <c r="O17" s="295"/>
      <c r="P17" s="204"/>
      <c r="Q17" s="204"/>
      <c r="V17" s="151"/>
      <c r="Z17" s="214"/>
    </row>
    <row r="18" spans="1:36" s="152" customFormat="1" ht="15" customHeight="1" x14ac:dyDescent="0.35">
      <c r="A18" s="151"/>
      <c r="D18" s="231" t="s">
        <v>214</v>
      </c>
      <c r="F18" s="213"/>
      <c r="G18" s="313"/>
      <c r="H18" s="166"/>
      <c r="I18" s="166"/>
      <c r="J18" s="166"/>
      <c r="K18" s="257"/>
      <c r="L18" s="257"/>
      <c r="M18" s="257"/>
      <c r="N18" s="257"/>
      <c r="O18" s="257"/>
      <c r="P18" s="204"/>
      <c r="Q18" s="204"/>
      <c r="V18" s="151"/>
      <c r="X18" s="79"/>
      <c r="Y18" s="79"/>
      <c r="Z18" s="214"/>
    </row>
    <row r="19" spans="1:36" s="152" customFormat="1" ht="15" customHeight="1" x14ac:dyDescent="0.35">
      <c r="A19" s="313">
        <f>MAX($A$10:A18)+1</f>
        <v>7</v>
      </c>
      <c r="D19" s="239" t="s">
        <v>512</v>
      </c>
      <c r="E19" s="152" t="str">
        <f>"%"</f>
        <v>%</v>
      </c>
      <c r="F19" s="213" t="str">
        <f>"["&amp;A19&amp;"]"</f>
        <v>[7]</v>
      </c>
      <c r="G19" s="313" t="str">
        <f>'Cumulative Inflation'!$D$3</f>
        <v>Table B9</v>
      </c>
      <c r="H19" s="154">
        <f>_xlfn.XLOOKUP($H$7,'Cumulative Inflation'!$H$7:$J$7,'Cumulative Inflation'!$H$20:$J$20)-1</f>
        <v>8.9329218702034474E-2</v>
      </c>
      <c r="I19" s="154"/>
      <c r="J19" s="154"/>
      <c r="K19" s="154"/>
      <c r="L19" s="154"/>
      <c r="M19" s="154"/>
      <c r="N19" s="154"/>
      <c r="O19" s="328"/>
      <c r="P19" s="204"/>
      <c r="Q19" s="204"/>
      <c r="V19" s="313"/>
      <c r="X19" s="79"/>
      <c r="Y19" s="79"/>
      <c r="Z19" s="214"/>
    </row>
    <row r="20" spans="1:36" s="152" customFormat="1" ht="6" customHeight="1" x14ac:dyDescent="0.35">
      <c r="D20" s="155"/>
      <c r="E20" s="155"/>
      <c r="F20" s="155"/>
      <c r="G20" s="159"/>
      <c r="H20" s="159"/>
      <c r="I20" s="159"/>
      <c r="J20" s="159"/>
      <c r="K20" s="246"/>
      <c r="L20" s="246"/>
      <c r="M20" s="246"/>
      <c r="N20" s="246"/>
      <c r="O20" s="246"/>
      <c r="P20" s="204"/>
      <c r="Q20" s="204"/>
      <c r="R20" s="204"/>
      <c r="S20" s="204"/>
      <c r="T20" s="204"/>
      <c r="U20" s="204"/>
      <c r="V20" s="246"/>
      <c r="Z20" s="214"/>
    </row>
    <row r="21" spans="1:36" s="152" customFormat="1" ht="6" customHeight="1" x14ac:dyDescent="0.35">
      <c r="G21" s="313"/>
      <c r="H21" s="292"/>
      <c r="I21" s="313"/>
      <c r="J21" s="313"/>
      <c r="K21" s="375"/>
      <c r="L21" s="375"/>
      <c r="M21" s="375"/>
      <c r="N21" s="375"/>
      <c r="O21" s="375"/>
      <c r="P21" s="363"/>
      <c r="Q21" s="363"/>
      <c r="R21" s="363"/>
      <c r="S21" s="363"/>
      <c r="T21" s="363"/>
      <c r="U21" s="363"/>
      <c r="V21" s="375"/>
      <c r="Z21" s="214"/>
    </row>
    <row r="22" spans="1:36" s="161" customFormat="1" ht="30" customHeight="1" x14ac:dyDescent="0.35">
      <c r="A22" s="151"/>
      <c r="D22" s="162"/>
      <c r="G22" s="2129"/>
      <c r="H22" s="1153" t="s">
        <v>537</v>
      </c>
      <c r="I22" s="302"/>
      <c r="J22" s="302"/>
      <c r="K22" s="1598" t="s">
        <v>149</v>
      </c>
      <c r="L22" s="1598"/>
      <c r="M22" s="1598"/>
      <c r="N22" s="1598"/>
      <c r="O22" s="1598"/>
      <c r="P22" s="283"/>
      <c r="Q22" s="302"/>
      <c r="R22" s="1598" t="s">
        <v>152</v>
      </c>
      <c r="S22" s="1598"/>
      <c r="T22" s="1598"/>
      <c r="U22" s="1598"/>
      <c r="V22" s="1598"/>
      <c r="Y22" s="79"/>
      <c r="Z22" s="217"/>
    </row>
    <row r="23" spans="1:36" s="161" customFormat="1" ht="6" customHeight="1" x14ac:dyDescent="0.35">
      <c r="A23" s="313"/>
      <c r="D23" s="162"/>
      <c r="G23" s="2129"/>
      <c r="H23" s="233"/>
      <c r="I23" s="302"/>
      <c r="J23" s="302"/>
      <c r="K23" s="360"/>
      <c r="L23" s="360"/>
      <c r="M23" s="360"/>
      <c r="N23" s="360"/>
      <c r="O23" s="360"/>
      <c r="P23" s="283"/>
      <c r="Q23" s="302"/>
      <c r="R23" s="360"/>
      <c r="S23" s="360"/>
      <c r="T23" s="360"/>
      <c r="U23" s="360"/>
      <c r="V23" s="360"/>
      <c r="Y23" s="79"/>
      <c r="Z23" s="217"/>
    </row>
    <row r="24" spans="1:36" s="161" customFormat="1" ht="15" customHeight="1" x14ac:dyDescent="0.35">
      <c r="A24" s="151"/>
      <c r="D24" s="162"/>
      <c r="G24" s="2129"/>
      <c r="H24" s="234" t="s">
        <v>10</v>
      </c>
      <c r="I24" s="234"/>
      <c r="J24" s="234"/>
      <c r="K24" s="166" t="str">
        <f>YEAR($H$10)&amp;"$"</f>
        <v>2025$</v>
      </c>
      <c r="L24" s="166" t="str">
        <f>YEAR($H$10)&amp;"$"</f>
        <v>2025$</v>
      </c>
      <c r="M24" s="166" t="str">
        <f>YEAR($H$10)&amp;"$"</f>
        <v>2025$</v>
      </c>
      <c r="N24" s="166" t="str">
        <f>YEAR($H$10)&amp;"$"</f>
        <v>2025$</v>
      </c>
      <c r="O24" s="166" t="str">
        <f>YEAR($H$10)&amp;"$"</f>
        <v>2025$</v>
      </c>
      <c r="P24" s="283"/>
      <c r="Q24" s="354"/>
      <c r="R24" s="174" t="str">
        <f>YEAR($H$11)&amp;"$"</f>
        <v>2028$</v>
      </c>
      <c r="S24" s="174" t="str">
        <f>YEAR($H$11)&amp;"$"</f>
        <v>2028$</v>
      </c>
      <c r="T24" s="174" t="str">
        <f>YEAR($H$11)&amp;"$"</f>
        <v>2028$</v>
      </c>
      <c r="U24" s="174" t="str">
        <f>YEAR($H$11)&amp;"$"</f>
        <v>2028$</v>
      </c>
      <c r="V24" s="174" t="str">
        <f>YEAR($H$11)&amp;"$"</f>
        <v>2028$</v>
      </c>
      <c r="Y24" s="79"/>
      <c r="Z24" s="217"/>
    </row>
    <row r="25" spans="1:36" s="161" customFormat="1" ht="15" customHeight="1" x14ac:dyDescent="0.35">
      <c r="A25" s="151"/>
      <c r="D25" s="162"/>
      <c r="G25" s="2129"/>
      <c r="H25" s="234" t="str">
        <f>"["&amp;CHAR(H1)&amp;"]"</f>
        <v>[A]</v>
      </c>
      <c r="I25" s="234"/>
      <c r="J25" s="234"/>
      <c r="K25" s="234" t="str">
        <f>"["&amp;CHAR(K1)&amp;"]"</f>
        <v>[B]</v>
      </c>
      <c r="L25" s="234" t="str">
        <f>"["&amp;CHAR(L1)&amp;"]"</f>
        <v>[C]</v>
      </c>
      <c r="M25" s="234" t="str">
        <f>"["&amp;CHAR(M1)&amp;"]"</f>
        <v>[D]</v>
      </c>
      <c r="N25" s="234" t="str">
        <f>"["&amp;CHAR(N1)&amp;"]"</f>
        <v>[E]</v>
      </c>
      <c r="O25" s="234" t="str">
        <f>"["&amp;CHAR(O1)&amp;"]"</f>
        <v>[F]</v>
      </c>
      <c r="P25" s="283"/>
      <c r="Q25" s="354"/>
      <c r="R25" s="234" t="str">
        <f>"["&amp;CHAR(R1)&amp;"]"</f>
        <v>[G]</v>
      </c>
      <c r="S25" s="234" t="str">
        <f>"["&amp;CHAR(S1)&amp;"]"</f>
        <v>[H]</v>
      </c>
      <c r="T25" s="234" t="str">
        <f>"["&amp;CHAR(T1)&amp;"]"</f>
        <v>[I]</v>
      </c>
      <c r="U25" s="234" t="str">
        <f>"["&amp;CHAR(U1)&amp;"]"</f>
        <v>[J]</v>
      </c>
      <c r="V25" s="234" t="str">
        <f>"["&amp;CHAR(V1)&amp;"]"</f>
        <v>[K]</v>
      </c>
      <c r="Y25" s="79"/>
      <c r="Z25" s="217"/>
    </row>
    <row r="26" spans="1:36" s="161" customFormat="1" ht="15" customHeight="1" x14ac:dyDescent="0.35">
      <c r="A26" s="151"/>
      <c r="D26" s="162"/>
      <c r="G26" s="2129"/>
      <c r="H26" s="166" t="str">
        <f>F19</f>
        <v>[7]</v>
      </c>
      <c r="I26" s="234"/>
      <c r="J26" s="234"/>
      <c r="K26" s="166"/>
      <c r="L26" s="166"/>
      <c r="M26" s="166"/>
      <c r="N26" s="166"/>
      <c r="O26" s="166"/>
      <c r="P26" s="283"/>
      <c r="Q26" s="354"/>
      <c r="R26" s="166" t="s">
        <v>39</v>
      </c>
      <c r="S26" s="166" t="s">
        <v>39</v>
      </c>
      <c r="T26" s="166" t="s">
        <v>39</v>
      </c>
      <c r="U26" s="166" t="s">
        <v>39</v>
      </c>
      <c r="V26" s="166" t="s">
        <v>39</v>
      </c>
      <c r="Y26" s="79"/>
      <c r="Z26" s="217"/>
    </row>
    <row r="27" spans="1:36" s="152" customFormat="1" ht="6" customHeight="1" x14ac:dyDescent="0.35">
      <c r="A27" s="151"/>
      <c r="D27" s="159"/>
      <c r="E27" s="155"/>
      <c r="F27" s="155"/>
      <c r="G27" s="159"/>
      <c r="H27" s="155"/>
      <c r="I27" s="204"/>
      <c r="J27" s="204"/>
      <c r="K27" s="159"/>
      <c r="L27" s="159"/>
      <c r="M27" s="159"/>
      <c r="N27" s="159"/>
      <c r="O27" s="159"/>
      <c r="P27" s="204"/>
      <c r="Q27" s="204"/>
      <c r="R27" s="159"/>
      <c r="S27" s="159"/>
      <c r="T27" s="159"/>
      <c r="U27" s="159"/>
      <c r="V27" s="159"/>
      <c r="Y27" s="79"/>
      <c r="Z27" s="214"/>
    </row>
    <row r="28" spans="1:36" s="152" customFormat="1" ht="6" customHeight="1" x14ac:dyDescent="0.35">
      <c r="A28" s="313"/>
      <c r="D28" s="246"/>
      <c r="E28" s="204"/>
      <c r="F28" s="204"/>
      <c r="G28" s="246"/>
      <c r="H28" s="204"/>
      <c r="I28" s="204"/>
      <c r="J28" s="204"/>
      <c r="K28" s="246"/>
      <c r="L28" s="246"/>
      <c r="M28" s="246"/>
      <c r="N28" s="246"/>
      <c r="O28" s="246"/>
      <c r="P28" s="204"/>
      <c r="Q28" s="204"/>
      <c r="R28" s="246"/>
      <c r="S28" s="246"/>
      <c r="T28" s="246"/>
      <c r="U28" s="246"/>
      <c r="V28" s="246"/>
      <c r="Y28" s="79"/>
      <c r="Z28" s="214"/>
    </row>
    <row r="29" spans="1:36" s="152" customFormat="1" ht="15" customHeight="1" x14ac:dyDescent="0.35">
      <c r="A29" s="292"/>
      <c r="D29" s="2201" t="s">
        <v>298</v>
      </c>
      <c r="F29" s="213"/>
      <c r="G29" s="313"/>
      <c r="K29" s="220" t="s">
        <v>288</v>
      </c>
      <c r="L29" s="220" t="s">
        <v>289</v>
      </c>
      <c r="M29" s="220" t="s">
        <v>290</v>
      </c>
      <c r="N29" s="220" t="s">
        <v>291</v>
      </c>
      <c r="O29" s="220" t="s">
        <v>299</v>
      </c>
      <c r="R29" s="220" t="s">
        <v>288</v>
      </c>
      <c r="S29" s="220" t="s">
        <v>289</v>
      </c>
      <c r="T29" s="220" t="s">
        <v>290</v>
      </c>
      <c r="U29" s="220" t="s">
        <v>291</v>
      </c>
      <c r="V29" s="220" t="s">
        <v>299</v>
      </c>
      <c r="X29" s="79"/>
      <c r="Y29" s="79"/>
      <c r="Z29" s="241"/>
    </row>
    <row r="30" spans="1:36" s="152" customFormat="1" ht="15" customHeight="1" x14ac:dyDescent="0.35">
      <c r="A30" s="292"/>
      <c r="D30" s="2201"/>
      <c r="F30" s="213"/>
      <c r="G30" s="313"/>
      <c r="I30" s="204"/>
      <c r="J30" s="204"/>
      <c r="K30" s="248">
        <v>1</v>
      </c>
      <c r="L30" s="248">
        <v>2</v>
      </c>
      <c r="M30" s="248">
        <v>3</v>
      </c>
      <c r="N30" s="248">
        <v>4</v>
      </c>
      <c r="O30" s="248">
        <v>5</v>
      </c>
      <c r="P30" s="204"/>
      <c r="Q30" s="204"/>
      <c r="R30" s="248">
        <v>1</v>
      </c>
      <c r="S30" s="248">
        <v>2</v>
      </c>
      <c r="T30" s="248">
        <v>3</v>
      </c>
      <c r="U30" s="248">
        <v>4</v>
      </c>
      <c r="V30" s="248">
        <v>5</v>
      </c>
      <c r="X30" s="79"/>
      <c r="Y30" s="79"/>
      <c r="Z30" s="241"/>
    </row>
    <row r="31" spans="1:36" ht="6" customHeight="1" x14ac:dyDescent="0.35">
      <c r="D31" s="159"/>
      <c r="E31" s="155"/>
      <c r="F31" s="155"/>
      <c r="G31" s="159"/>
      <c r="H31" s="155"/>
      <c r="I31" s="155"/>
      <c r="J31" s="204"/>
      <c r="K31" s="155"/>
      <c r="L31" s="155"/>
      <c r="M31" s="155"/>
      <c r="N31" s="155"/>
      <c r="O31" s="155"/>
      <c r="P31" s="203"/>
      <c r="Q31" s="204"/>
      <c r="R31" s="155"/>
      <c r="S31" s="155"/>
      <c r="T31" s="155"/>
      <c r="U31" s="155"/>
      <c r="V31" s="43"/>
      <c r="W31" s="203"/>
      <c r="X31" s="203"/>
      <c r="Y31" s="132"/>
      <c r="Z31" s="214"/>
      <c r="AJ31"/>
    </row>
    <row r="32" spans="1:36" ht="6" customHeight="1" x14ac:dyDescent="0.35">
      <c r="D32" s="313"/>
      <c r="E32" s="152"/>
      <c r="F32" s="152"/>
      <c r="G32" s="313"/>
      <c r="H32" s="152"/>
      <c r="I32" s="152"/>
      <c r="J32" s="152"/>
      <c r="K32" s="152"/>
      <c r="L32" s="152"/>
      <c r="M32" s="152"/>
      <c r="N32" s="152"/>
      <c r="O32" s="204"/>
      <c r="P32" s="203"/>
      <c r="Q32" s="204"/>
      <c r="R32" s="204"/>
      <c r="S32" s="204"/>
      <c r="T32" s="204"/>
      <c r="U32" s="204"/>
      <c r="V32" s="132"/>
      <c r="W32" s="203"/>
      <c r="X32" s="203"/>
      <c r="Y32" s="132"/>
      <c r="Z32" s="214"/>
      <c r="AJ32"/>
    </row>
    <row r="33" spans="1:26" s="161" customFormat="1" ht="15" customHeight="1" x14ac:dyDescent="0.35">
      <c r="D33" s="162" t="s">
        <v>208</v>
      </c>
      <c r="G33" s="2129"/>
      <c r="H33" s="162"/>
      <c r="I33" s="162"/>
      <c r="J33" s="162"/>
      <c r="K33" s="162"/>
      <c r="L33" s="162"/>
      <c r="M33" s="162"/>
      <c r="N33" s="162"/>
      <c r="O33" s="284"/>
      <c r="P33" s="283"/>
      <c r="Q33" s="283"/>
      <c r="V33" s="162"/>
      <c r="Y33" s="162"/>
      <c r="Z33" s="217" t="s">
        <v>175</v>
      </c>
    </row>
    <row r="34" spans="1:26" s="152" customFormat="1" ht="15" customHeight="1" x14ac:dyDescent="0.35">
      <c r="A34" s="313">
        <f>MAX($A$10:A33)+1</f>
        <v>8</v>
      </c>
      <c r="D34" s="215" t="str">
        <f>Control!$D$42</f>
        <v>Net Summer Capacity</v>
      </c>
      <c r="E34" s="152" t="s">
        <v>4</v>
      </c>
      <c r="F34" s="213" t="str">
        <f>"["&amp;A34&amp;"]"</f>
        <v>[8]</v>
      </c>
      <c r="G34" s="313" t="str">
        <f>'S&amp;L CC+CT - Cost Assumptions'!$D$3</f>
        <v>Table C7</v>
      </c>
      <c r="I34" s="167"/>
      <c r="J34" s="167"/>
      <c r="K34" s="167">
        <f>'S&amp;L CC+CT - Cost Assumptions'!K$17</f>
        <v>1289.1210000000001</v>
      </c>
      <c r="L34" s="167">
        <f>'S&amp;L CC+CT - Cost Assumptions'!L$17</f>
        <v>1289.296</v>
      </c>
      <c r="M34" s="167">
        <f>'S&amp;L CC+CT - Cost Assumptions'!M$17</f>
        <v>1276.144</v>
      </c>
      <c r="N34" s="167">
        <f>'S&amp;L CC+CT - Cost Assumptions'!N$17</f>
        <v>1263.559</v>
      </c>
      <c r="O34" s="167">
        <f>'S&amp;L CC+CT - Cost Assumptions'!O$17</f>
        <v>1293.8</v>
      </c>
      <c r="P34" s="204"/>
      <c r="Q34" s="204"/>
      <c r="R34" s="167">
        <f>K34</f>
        <v>1289.1210000000001</v>
      </c>
      <c r="S34" s="167">
        <f t="shared" ref="S34:V34" si="0">L34</f>
        <v>1289.296</v>
      </c>
      <c r="T34" s="167">
        <f t="shared" si="0"/>
        <v>1276.144</v>
      </c>
      <c r="U34" s="167">
        <f t="shared" si="0"/>
        <v>1263.559</v>
      </c>
      <c r="V34" s="167">
        <f t="shared" si="0"/>
        <v>1293.8</v>
      </c>
      <c r="Y34" s="313"/>
      <c r="Z34" s="214"/>
    </row>
    <row r="35" spans="1:26" s="152" customFormat="1" ht="6" customHeight="1" x14ac:dyDescent="0.35">
      <c r="A35" s="292"/>
      <c r="D35" s="159"/>
      <c r="E35" s="155"/>
      <c r="F35" s="155"/>
      <c r="G35" s="159"/>
      <c r="H35" s="155"/>
      <c r="I35" s="204"/>
      <c r="J35" s="204"/>
      <c r="K35" s="155"/>
      <c r="L35" s="155"/>
      <c r="M35" s="155"/>
      <c r="N35" s="155"/>
      <c r="O35" s="155"/>
      <c r="P35" s="204"/>
      <c r="Q35" s="204"/>
      <c r="R35" s="155"/>
      <c r="S35" s="155"/>
      <c r="T35" s="155"/>
      <c r="U35" s="155"/>
      <c r="V35" s="155"/>
      <c r="X35" s="79"/>
      <c r="Y35" s="79"/>
      <c r="Z35" s="241"/>
    </row>
    <row r="36" spans="1:26" s="152" customFormat="1" ht="6" customHeight="1" x14ac:dyDescent="0.35">
      <c r="A36" s="151"/>
      <c r="D36" s="151"/>
      <c r="G36" s="313"/>
      <c r="I36" s="204"/>
      <c r="J36" s="204"/>
      <c r="K36" s="313"/>
      <c r="L36" s="313"/>
      <c r="M36" s="313"/>
      <c r="N36" s="313"/>
      <c r="O36" s="313"/>
      <c r="P36" s="204"/>
      <c r="Q36" s="204"/>
      <c r="R36" s="313"/>
      <c r="S36" s="313"/>
      <c r="T36" s="313"/>
      <c r="U36" s="313"/>
      <c r="V36" s="313"/>
      <c r="Y36" s="79"/>
      <c r="Z36" s="214"/>
    </row>
    <row r="37" spans="1:26" s="152" customFormat="1" ht="15" customHeight="1" x14ac:dyDescent="0.35">
      <c r="A37" s="151">
        <f>MAX($A$10:A36)+1</f>
        <v>9</v>
      </c>
      <c r="D37" s="162" t="s">
        <v>151</v>
      </c>
      <c r="E37" s="152" t="str">
        <f>"Nominal$"</f>
        <v>Nominal$</v>
      </c>
      <c r="F37" s="213" t="str">
        <f>"["&amp;A37&amp;"]"</f>
        <v>[9]</v>
      </c>
      <c r="G37" s="313" t="str">
        <f>'CC Capital Costs'!$D$3</f>
        <v>Table B7</v>
      </c>
      <c r="I37" s="204"/>
      <c r="J37" s="204"/>
      <c r="K37" s="153" cm="1">
        <f t="array" ref="K37">INDEX('CC Capital Costs'!$K$8:$O$77, MATCH($D37, 'CC Capital Costs'!$D$8:$D$77, 0),K$30)</f>
        <v>1951313617.1006637</v>
      </c>
      <c r="L37" s="153" cm="1">
        <f t="array" ref="L37">INDEX('CC Capital Costs'!$K$8:$O$77, MATCH($D37, 'CC Capital Costs'!$D$8:$D$77, 0),L$30)</f>
        <v>1816681902.2263362</v>
      </c>
      <c r="M37" s="153" cm="1">
        <f t="array" ref="M37">INDEX('CC Capital Costs'!$K$8:$O$77, MATCH($D37, 'CC Capital Costs'!$D$8:$D$77, 0),M$30)</f>
        <v>1808831962.0184393</v>
      </c>
      <c r="N37" s="153" cm="1">
        <f t="array" ref="N37">INDEX('CC Capital Costs'!$K$8:$O$77, MATCH($D37, 'CC Capital Costs'!$D$8:$D$77, 0),N$30)</f>
        <v>1861580740.1125896</v>
      </c>
      <c r="O37" s="153" cm="1">
        <f t="array" ref="O37">INDEX('CC Capital Costs'!$K$8:$O$77, MATCH($D37, 'CC Capital Costs'!$D$8:$D$77, 0),O$30)</f>
        <v>2126348551.0396273</v>
      </c>
      <c r="P37" s="204"/>
      <c r="Q37" s="204"/>
      <c r="R37" s="153" cm="1">
        <f t="array" ref="R37">INDEX('CC Capital Costs'!$R$8:$V$77, MATCH('CC OM Costs'!$D37, 'CC Capital Costs'!$D$8:$D$77, 0),R$30)</f>
        <v>1956103347.5085211</v>
      </c>
      <c r="S37" s="153" cm="1">
        <f t="array" ref="S37">INDEX('CC Capital Costs'!$R$8:$V$77, MATCH('CC OM Costs'!$D37, 'CC Capital Costs'!$D$8:$D$77, 0),S$30)</f>
        <v>1819670425.8049767</v>
      </c>
      <c r="T37" s="153" cm="1">
        <f t="array" ref="T37">INDEX('CC Capital Costs'!$R$8:$V$77, MATCH('CC OM Costs'!$D37, 'CC Capital Costs'!$D$8:$D$77, 0),T$30)</f>
        <v>1811348085.1208434</v>
      </c>
      <c r="U37" s="153" cm="1">
        <f t="array" ref="U37">INDEX('CC Capital Costs'!$R$8:$V$77, MATCH('CC OM Costs'!$D37, 'CC Capital Costs'!$D$8:$D$77, 0),U$30)</f>
        <v>1864494345.0842974</v>
      </c>
      <c r="V37" s="153" cm="1">
        <f t="array" ref="V37">INDEX('CC Capital Costs'!$R$8:$V$77, MATCH('CC OM Costs'!$D37, 'CC Capital Costs'!$D$8:$D$77, 0),V$30)</f>
        <v>2133395220.3190463</v>
      </c>
      <c r="Y37" s="79"/>
      <c r="Z37" s="214"/>
    </row>
    <row r="38" spans="1:26" s="152" customFormat="1" ht="6" customHeight="1" x14ac:dyDescent="0.35">
      <c r="A38" s="151"/>
      <c r="D38" s="151"/>
      <c r="G38" s="313"/>
      <c r="I38" s="204"/>
      <c r="J38" s="204"/>
      <c r="K38" s="313"/>
      <c r="L38" s="313"/>
      <c r="M38" s="313"/>
      <c r="N38" s="313"/>
      <c r="O38" s="313"/>
      <c r="P38" s="204"/>
      <c r="Q38" s="204"/>
      <c r="R38" s="313"/>
      <c r="S38" s="313"/>
      <c r="T38" s="313"/>
      <c r="U38" s="313"/>
      <c r="V38" s="313"/>
      <c r="Y38" s="79"/>
      <c r="Z38" s="214"/>
    </row>
    <row r="39" spans="1:26" s="152" customFormat="1" ht="15" customHeight="1" x14ac:dyDescent="0.35">
      <c r="A39" s="151"/>
      <c r="D39" s="162" t="s">
        <v>157</v>
      </c>
      <c r="G39" s="313"/>
      <c r="I39" s="204"/>
      <c r="J39" s="204"/>
      <c r="K39" s="313"/>
      <c r="L39" s="313"/>
      <c r="M39" s="313"/>
      <c r="N39" s="313"/>
      <c r="O39" s="313"/>
      <c r="P39" s="204"/>
      <c r="Q39" s="204"/>
      <c r="R39" s="313"/>
      <c r="S39" s="313"/>
      <c r="T39" s="313"/>
      <c r="U39" s="313"/>
      <c r="V39" s="313"/>
      <c r="Y39" s="79"/>
      <c r="Z39" s="214"/>
    </row>
    <row r="40" spans="1:26" s="152" customFormat="1" ht="15" customHeight="1" x14ac:dyDescent="0.35">
      <c r="A40" s="313">
        <f>MAX($A$10:A39)+1</f>
        <v>10</v>
      </c>
      <c r="D40" s="215" t="s">
        <v>221</v>
      </c>
      <c r="E40" s="152" t="str">
        <f>"$/year"</f>
        <v>$/year</v>
      </c>
      <c r="F40" s="213" t="str">
        <f t="shared" ref="F40:F47" si="1">"["&amp;A40&amp;"]"</f>
        <v>[10]</v>
      </c>
      <c r="G40" s="313" t="str">
        <f>'S&amp;L CC+CT - O&amp;M Costs'!$D$3</f>
        <v>Table C9</v>
      </c>
      <c r="H40" s="160">
        <f>$H$19</f>
        <v>8.9329218702034474E-2</v>
      </c>
      <c r="I40" s="357"/>
      <c r="J40" s="357"/>
      <c r="K40" s="153">
        <f>INDEX('S&amp;L CC+CT - O&amp;M Costs'!$K$13:$O$27,MATCH($Z40,'S&amp;L CC+CT - O&amp;M Costs'!$D$13:$D$27,0),MATCH(K$29,'S&amp;L CC+CT - O&amp;M Costs'!$K$8:$O$8,0))</f>
        <v>1039000</v>
      </c>
      <c r="L40" s="153">
        <f>INDEX('S&amp;L CC+CT - O&amp;M Costs'!$K$13:$O$27,MATCH($Z40,'S&amp;L CC+CT - O&amp;M Costs'!$D$13:$D$27,0),MATCH(L$29,'S&amp;L CC+CT - O&amp;M Costs'!$K$8:$O$8,0))</f>
        <v>1039000</v>
      </c>
      <c r="M40" s="153">
        <f>INDEX('S&amp;L CC+CT - O&amp;M Costs'!$K$13:$O$27,MATCH($Z40,'S&amp;L CC+CT - O&amp;M Costs'!$D$13:$D$27,0),MATCH(M$29,'S&amp;L CC+CT - O&amp;M Costs'!$K$8:$O$8,0))</f>
        <v>1039000</v>
      </c>
      <c r="N40" s="153">
        <f>INDEX('S&amp;L CC+CT - O&amp;M Costs'!$K$13:$O$27,MATCH($Z40,'S&amp;L CC+CT - O&amp;M Costs'!$D$13:$D$27,0),MATCH(N$29,'S&amp;L CC+CT - O&amp;M Costs'!$K$8:$O$8,0))</f>
        <v>1039000</v>
      </c>
      <c r="O40" s="153">
        <f>INDEX('S&amp;L CC+CT - O&amp;M Costs'!$K$13:$O$27,MATCH($Z40,'S&amp;L CC+CT - O&amp;M Costs'!$D$13:$D$27,0),MATCH(O$29,'S&amp;L CC+CT - O&amp;M Costs'!$K$8:$O$8,0))</f>
        <v>1039000</v>
      </c>
      <c r="P40" s="204"/>
      <c r="Q40" s="357"/>
      <c r="R40" s="156">
        <f t="shared" ref="R40:V44" si="2">K40*(1+$H40)</f>
        <v>1131813.0582314138</v>
      </c>
      <c r="S40" s="156">
        <f t="shared" si="2"/>
        <v>1131813.0582314138</v>
      </c>
      <c r="T40" s="156">
        <f t="shared" si="2"/>
        <v>1131813.0582314138</v>
      </c>
      <c r="U40" s="156">
        <f t="shared" si="2"/>
        <v>1131813.0582314138</v>
      </c>
      <c r="V40" s="156">
        <f t="shared" si="2"/>
        <v>1131813.0582314138</v>
      </c>
      <c r="Y40" s="79"/>
      <c r="Z40" s="219" t="str">
        <f>'S&amp;L CC+CT - O&amp;M Costs'!$D13</f>
        <v xml:space="preserve">     Major Maintenance - LTSA Fixed Payments</v>
      </c>
    </row>
    <row r="41" spans="1:26" s="152" customFormat="1" ht="15" customHeight="1" x14ac:dyDescent="0.35">
      <c r="A41" s="313">
        <f>MAX($A$10:A40)+1</f>
        <v>11</v>
      </c>
      <c r="D41" s="215" t="s">
        <v>97</v>
      </c>
      <c r="E41" s="152" t="str">
        <f t="shared" ref="E41:E48" si="3">"$/year"</f>
        <v>$/year</v>
      </c>
      <c r="F41" s="213" t="str">
        <f t="shared" si="1"/>
        <v>[11]</v>
      </c>
      <c r="G41" s="313" t="str">
        <f>'S&amp;L CC+CT - O&amp;M Costs'!$D$3</f>
        <v>Table C9</v>
      </c>
      <c r="H41" s="160">
        <f>$H$19</f>
        <v>8.9329218702034474E-2</v>
      </c>
      <c r="I41" s="357"/>
      <c r="J41" s="357"/>
      <c r="K41" s="153">
        <f>INDEX('S&amp;L CC+CT - O&amp;M Costs'!$K$13:$O$27,MATCH($Z41,'S&amp;L CC+CT - O&amp;M Costs'!$D$13:$D$27,0),MATCH(K$29,'S&amp;L CC+CT - O&amp;M Costs'!$K$8:$O$8,0))</f>
        <v>4909000</v>
      </c>
      <c r="L41" s="153">
        <f>INDEX('S&amp;L CC+CT - O&amp;M Costs'!$K$13:$O$27,MATCH($Z41,'S&amp;L CC+CT - O&amp;M Costs'!$D$13:$D$27,0),MATCH(L$29,'S&amp;L CC+CT - O&amp;M Costs'!$K$8:$O$8,0))</f>
        <v>5222000</v>
      </c>
      <c r="M41" s="153">
        <f>INDEX('S&amp;L CC+CT - O&amp;M Costs'!$K$13:$O$27,MATCH($Z41,'S&amp;L CC+CT - O&amp;M Costs'!$D$13:$D$27,0),MATCH(M$29,'S&amp;L CC+CT - O&amp;M Costs'!$K$8:$O$8,0))</f>
        <v>3577000</v>
      </c>
      <c r="N41" s="153">
        <f>INDEX('S&amp;L CC+CT - O&amp;M Costs'!$K$13:$O$27,MATCH($Z41,'S&amp;L CC+CT - O&amp;M Costs'!$D$13:$D$27,0),MATCH(N$29,'S&amp;L CC+CT - O&amp;M Costs'!$K$8:$O$8,0))</f>
        <v>4277000</v>
      </c>
      <c r="O41" s="153">
        <f>INDEX('S&amp;L CC+CT - O&amp;M Costs'!$K$13:$O$27,MATCH($Z41,'S&amp;L CC+CT - O&amp;M Costs'!$D$13:$D$27,0),MATCH(O$29,'S&amp;L CC+CT - O&amp;M Costs'!$K$8:$O$8,0))</f>
        <v>4721000</v>
      </c>
      <c r="P41" s="204"/>
      <c r="Q41" s="357"/>
      <c r="R41" s="156">
        <f t="shared" si="2"/>
        <v>5347517.1346082874</v>
      </c>
      <c r="S41" s="156">
        <f t="shared" si="2"/>
        <v>5688477.1800620239</v>
      </c>
      <c r="T41" s="156">
        <f t="shared" si="2"/>
        <v>3896530.6152971773</v>
      </c>
      <c r="U41" s="156">
        <f t="shared" si="2"/>
        <v>4659061.0683886018</v>
      </c>
      <c r="V41" s="156">
        <f t="shared" si="2"/>
        <v>5142723.241492305</v>
      </c>
      <c r="Y41" s="79"/>
      <c r="Z41" s="219" t="str">
        <f>'S&amp;L CC+CT - O&amp;M Costs'!$D14</f>
        <v xml:space="preserve">     Labor </v>
      </c>
    </row>
    <row r="42" spans="1:26" s="152" customFormat="1" ht="15" customHeight="1" x14ac:dyDescent="0.35">
      <c r="A42" s="313">
        <f>MAX($A$10:A41)+1</f>
        <v>12</v>
      </c>
      <c r="D42" s="215" t="s">
        <v>153</v>
      </c>
      <c r="E42" s="152" t="str">
        <f t="shared" si="3"/>
        <v>$/year</v>
      </c>
      <c r="F42" s="213" t="str">
        <f t="shared" si="1"/>
        <v>[12]</v>
      </c>
      <c r="G42" s="313" t="str">
        <f>'S&amp;L CC+CT - O&amp;M Costs'!$D$3</f>
        <v>Table C9</v>
      </c>
      <c r="H42" s="160">
        <f>$H$19</f>
        <v>8.9329218702034474E-2</v>
      </c>
      <c r="I42" s="357"/>
      <c r="J42" s="357"/>
      <c r="K42" s="153">
        <f>INDEX('S&amp;L CC+CT - O&amp;M Costs'!$K$13:$O$27,MATCH($Z42,'S&amp;L CC+CT - O&amp;M Costs'!$D$13:$D$27,0),MATCH(K$29,'S&amp;L CC+CT - O&amp;M Costs'!$K$8:$O$8,0))</f>
        <v>7189000</v>
      </c>
      <c r="L42" s="153">
        <f>INDEX('S&amp;L CC+CT - O&amp;M Costs'!$K$13:$O$27,MATCH($Z42,'S&amp;L CC+CT - O&amp;M Costs'!$D$13:$D$27,0),MATCH(L$29,'S&amp;L CC+CT - O&amp;M Costs'!$K$8:$O$8,0))</f>
        <v>7339000</v>
      </c>
      <c r="M42" s="153">
        <f>INDEX('S&amp;L CC+CT - O&amp;M Costs'!$K$13:$O$27,MATCH($Z42,'S&amp;L CC+CT - O&amp;M Costs'!$D$13:$D$27,0),MATCH(M$29,'S&amp;L CC+CT - O&amp;M Costs'!$K$8:$O$8,0))</f>
        <v>6469000</v>
      </c>
      <c r="N42" s="153">
        <f>INDEX('S&amp;L CC+CT - O&amp;M Costs'!$K$13:$O$27,MATCH($Z42,'S&amp;L CC+CT - O&amp;M Costs'!$D$13:$D$27,0),MATCH(N$29,'S&amp;L CC+CT - O&amp;M Costs'!$K$8:$O$8,0))</f>
        <v>6867000</v>
      </c>
      <c r="O42" s="153">
        <f>INDEX('S&amp;L CC+CT - O&amp;M Costs'!$K$13:$O$27,MATCH($Z42,'S&amp;L CC+CT - O&amp;M Costs'!$D$13:$D$27,0),MATCH(O$29,'S&amp;L CC+CT - O&amp;M Costs'!$K$8:$O$8,0))</f>
        <v>7096000</v>
      </c>
      <c r="P42" s="204"/>
      <c r="Q42" s="357"/>
      <c r="R42" s="156">
        <f t="shared" si="2"/>
        <v>7831187.7532489263</v>
      </c>
      <c r="S42" s="156">
        <f t="shared" si="2"/>
        <v>7994587.1360542309</v>
      </c>
      <c r="T42" s="156">
        <f t="shared" si="2"/>
        <v>7046870.715783461</v>
      </c>
      <c r="U42" s="156">
        <f t="shared" si="2"/>
        <v>7480423.744826871</v>
      </c>
      <c r="V42" s="156">
        <f t="shared" si="2"/>
        <v>7729880.1359096365</v>
      </c>
      <c r="Y42" s="79"/>
      <c r="Z42" s="219" t="str">
        <f>'S&amp;L CC+CT - O&amp;M Costs'!$D15</f>
        <v xml:space="preserve">     Maintenance, Supplies, and Minor Repairs</v>
      </c>
    </row>
    <row r="43" spans="1:26" s="152" customFormat="1" ht="15" customHeight="1" x14ac:dyDescent="0.35">
      <c r="A43" s="313">
        <f>MAX($A$10:A42)+1</f>
        <v>13</v>
      </c>
      <c r="D43" s="215" t="s">
        <v>154</v>
      </c>
      <c r="E43" s="152" t="str">
        <f t="shared" si="3"/>
        <v>$/year</v>
      </c>
      <c r="F43" s="213" t="str">
        <f t="shared" si="1"/>
        <v>[13]</v>
      </c>
      <c r="G43" s="313" t="str">
        <f>'S&amp;L CC+CT - O&amp;M Costs'!$D$3</f>
        <v>Table C9</v>
      </c>
      <c r="H43" s="160">
        <f>$H$19</f>
        <v>8.9329218702034474E-2</v>
      </c>
      <c r="I43" s="357"/>
      <c r="J43" s="357"/>
      <c r="K43" s="153">
        <f>INDEX('S&amp;L CC+CT - O&amp;M Costs'!$K$13:$O$27,MATCH($Z43,'S&amp;L CC+CT - O&amp;M Costs'!$D$13:$D$27,0),MATCH(K$29,'S&amp;L CC+CT - O&amp;M Costs'!$K$8:$O$8,0))</f>
        <v>1468000</v>
      </c>
      <c r="L43" s="153">
        <f>INDEX('S&amp;L CC+CT - O&amp;M Costs'!$K$13:$O$27,MATCH($Z43,'S&amp;L CC+CT - O&amp;M Costs'!$D$13:$D$27,0),MATCH(L$29,'S&amp;L CC+CT - O&amp;M Costs'!$K$8:$O$8,0))</f>
        <v>1468000</v>
      </c>
      <c r="M43" s="153">
        <f>INDEX('S&amp;L CC+CT - O&amp;M Costs'!$K$13:$O$27,MATCH($Z43,'S&amp;L CC+CT - O&amp;M Costs'!$D$13:$D$27,0),MATCH(M$29,'S&amp;L CC+CT - O&amp;M Costs'!$K$8:$O$8,0))</f>
        <v>1468000</v>
      </c>
      <c r="N43" s="153">
        <f>INDEX('S&amp;L CC+CT - O&amp;M Costs'!$K$13:$O$27,MATCH($Z43,'S&amp;L CC+CT - O&amp;M Costs'!$D$13:$D$27,0),MATCH(N$29,'S&amp;L CC+CT - O&amp;M Costs'!$K$8:$O$8,0))</f>
        <v>1468000</v>
      </c>
      <c r="O43" s="153">
        <f>INDEX('S&amp;L CC+CT - O&amp;M Costs'!$K$13:$O$27,MATCH($Z43,'S&amp;L CC+CT - O&amp;M Costs'!$D$13:$D$27,0),MATCH(O$29,'S&amp;L CC+CT - O&amp;M Costs'!$K$8:$O$8,0))</f>
        <v>1468000</v>
      </c>
      <c r="P43" s="204"/>
      <c r="Q43" s="357"/>
      <c r="R43" s="156">
        <f t="shared" si="2"/>
        <v>1599135.2930545865</v>
      </c>
      <c r="S43" s="156">
        <f t="shared" si="2"/>
        <v>1599135.2930545865</v>
      </c>
      <c r="T43" s="156">
        <f t="shared" si="2"/>
        <v>1599135.2930545865</v>
      </c>
      <c r="U43" s="156">
        <f t="shared" si="2"/>
        <v>1599135.2930545865</v>
      </c>
      <c r="V43" s="156">
        <f t="shared" si="2"/>
        <v>1599135.2930545865</v>
      </c>
      <c r="Y43" s="79"/>
      <c r="Z43" s="219" t="str">
        <f>'S&amp;L CC+CT - O&amp;M Costs'!$D16</f>
        <v xml:space="preserve">     Administrative and General</v>
      </c>
    </row>
    <row r="44" spans="1:26" s="152" customFormat="1" ht="15" customHeight="1" x14ac:dyDescent="0.35">
      <c r="A44" s="313">
        <f>MAX($A$10:A43)+1</f>
        <v>14</v>
      </c>
      <c r="D44" s="215" t="s">
        <v>155</v>
      </c>
      <c r="E44" s="152" t="str">
        <f t="shared" si="3"/>
        <v>$/year</v>
      </c>
      <c r="F44" s="213" t="str">
        <f t="shared" si="1"/>
        <v>[14]</v>
      </c>
      <c r="G44" s="313" t="str">
        <f>'S&amp;L CC+CT - O&amp;M Costs'!$D$3</f>
        <v>Table C9</v>
      </c>
      <c r="H44" s="160">
        <f>$H$19</f>
        <v>8.9329218702034474E-2</v>
      </c>
      <c r="I44" s="357"/>
      <c r="J44" s="357"/>
      <c r="K44" s="153">
        <f>INDEX('S&amp;L CC+CT - O&amp;M Costs'!$K$13:$O$27,MATCH($Z44,'S&amp;L CC+CT - O&amp;M Costs'!$D$13:$D$27,0),MATCH(K$29,'S&amp;L CC+CT - O&amp;M Costs'!$K$8:$O$8,0))</f>
        <v>1544000</v>
      </c>
      <c r="L44" s="153">
        <f>INDEX('S&amp;L CC+CT - O&amp;M Costs'!$K$13:$O$27,MATCH($Z44,'S&amp;L CC+CT - O&amp;M Costs'!$D$13:$D$27,0),MATCH(L$29,'S&amp;L CC+CT - O&amp;M Costs'!$K$8:$O$8,0))</f>
        <v>1645000</v>
      </c>
      <c r="M44" s="153">
        <f>INDEX('S&amp;L CC+CT - O&amp;M Costs'!$K$13:$O$27,MATCH($Z44,'S&amp;L CC+CT - O&amp;M Costs'!$D$13:$D$27,0),MATCH(M$29,'S&amp;L CC+CT - O&amp;M Costs'!$K$8:$O$8,0))</f>
        <v>1112000</v>
      </c>
      <c r="N44" s="153">
        <f>INDEX('S&amp;L CC+CT - O&amp;M Costs'!$K$13:$O$27,MATCH($Z44,'S&amp;L CC+CT - O&amp;M Costs'!$D$13:$D$27,0),MATCH(N$29,'S&amp;L CC+CT - O&amp;M Costs'!$K$8:$O$8,0))</f>
        <v>1315000</v>
      </c>
      <c r="O44" s="153">
        <f>INDEX('S&amp;L CC+CT - O&amp;M Costs'!$K$13:$O$27,MATCH($Z44,'S&amp;L CC+CT - O&amp;M Costs'!$D$13:$D$27,0),MATCH(O$29,'S&amp;L CC+CT - O&amp;M Costs'!$K$8:$O$8,0))</f>
        <v>1490000</v>
      </c>
      <c r="P44" s="204"/>
      <c r="Q44" s="357"/>
      <c r="R44" s="156">
        <f t="shared" si="2"/>
        <v>1681924.3136759412</v>
      </c>
      <c r="S44" s="156">
        <f t="shared" si="2"/>
        <v>1791946.5647648468</v>
      </c>
      <c r="T44" s="156">
        <f t="shared" si="2"/>
        <v>1211334.0911966623</v>
      </c>
      <c r="U44" s="156">
        <f t="shared" si="2"/>
        <v>1432467.9225931754</v>
      </c>
      <c r="V44" s="156">
        <f t="shared" si="2"/>
        <v>1623100.5358660314</v>
      </c>
      <c r="Y44" s="79"/>
      <c r="Z44" s="219" t="str">
        <f>'S&amp;L CC+CT - O&amp;M Costs'!$D17</f>
        <v xml:space="preserve">     Asset Management</v>
      </c>
    </row>
    <row r="45" spans="1:26" s="152" customFormat="1" ht="15" customHeight="1" x14ac:dyDescent="0.35">
      <c r="A45" s="313">
        <f>MAX($A$10:A44)+1</f>
        <v>15</v>
      </c>
      <c r="D45" s="215" t="s">
        <v>93</v>
      </c>
      <c r="E45" s="152" t="str">
        <f t="shared" si="3"/>
        <v>$/year</v>
      </c>
      <c r="F45" s="312" t="str">
        <f t="shared" si="1"/>
        <v>[15]</v>
      </c>
      <c r="G45" s="153" t="str">
        <f>$F$37&amp;" x "&amp;$F$14</f>
        <v>[9] x [4]</v>
      </c>
      <c r="H45" s="154"/>
      <c r="I45" s="328"/>
      <c r="J45" s="328"/>
      <c r="K45" s="153">
        <f>$H$14*K37</f>
        <v>11707881.702603983</v>
      </c>
      <c r="L45" s="153">
        <f>$H$14*L37</f>
        <v>10900091.413358018</v>
      </c>
      <c r="M45" s="153">
        <f>$H$14*M37</f>
        <v>10852991.772110635</v>
      </c>
      <c r="N45" s="153">
        <f>$H$14*N37</f>
        <v>11169484.440675538</v>
      </c>
      <c r="O45" s="153">
        <f>$H$14*O37</f>
        <v>12758091.306237765</v>
      </c>
      <c r="P45" s="246"/>
      <c r="Q45" s="328"/>
      <c r="R45" s="153">
        <f>$H$14*R37</f>
        <v>11736620.085051127</v>
      </c>
      <c r="S45" s="153">
        <f>$H$14*S37</f>
        <v>10918022.55482986</v>
      </c>
      <c r="T45" s="153">
        <f>$H$14*T37</f>
        <v>10868088.51072506</v>
      </c>
      <c r="U45" s="153">
        <f>$H$14*U37</f>
        <v>11186966.070505785</v>
      </c>
      <c r="V45" s="153">
        <f>$H$14*V37</f>
        <v>12800371.321914278</v>
      </c>
      <c r="Y45" s="79"/>
      <c r="Z45" s="219" t="str">
        <f>'S&amp;L CC+CT - O&amp;M Costs'!$D18</f>
        <v xml:space="preserve">     Insurance  </v>
      </c>
    </row>
    <row r="46" spans="1:26" s="152" customFormat="1" ht="15" customHeight="1" x14ac:dyDescent="0.35">
      <c r="A46" s="313">
        <f>MAX($A$10:A45)+1</f>
        <v>16</v>
      </c>
      <c r="D46" s="215" t="s">
        <v>156</v>
      </c>
      <c r="E46" s="152" t="str">
        <f t="shared" si="3"/>
        <v>$/year</v>
      </c>
      <c r="F46" s="312" t="str">
        <f>"["&amp;A46&amp;"]"</f>
        <v>[16]</v>
      </c>
      <c r="G46" s="153" t="str">
        <f>'Annual Property Tax Costs'!$D$3</f>
        <v>Table B5</v>
      </c>
      <c r="H46" s="154"/>
      <c r="I46" s="328"/>
      <c r="J46" s="328"/>
      <c r="K46" s="153">
        <f>INDEX('Annual Property Tax Costs'!$44:$44,1,MATCH($H$7&amp;"_"&amp;K$29,'Annual Property Tax Costs'!$27:$27,0))</f>
        <v>3223123.0996250268</v>
      </c>
      <c r="L46" s="153">
        <f>INDEX('Annual Property Tax Costs'!$44:$44,1,MATCH($H$7&amp;"_"&amp;L$29,'Annual Property Tax Costs'!$27:$27,0))</f>
        <v>22853216.879127752</v>
      </c>
      <c r="M46" s="153">
        <f>INDEX('Annual Property Tax Costs'!$44:$44,1,MATCH($H$7&amp;"_"&amp;M$29,'Annual Property Tax Costs'!$27:$27,0))</f>
        <v>12510441.762216441</v>
      </c>
      <c r="N46" s="153">
        <f>INDEX('Annual Property Tax Costs'!$44:$44,1,MATCH($H$7&amp;"_"&amp;N$29,'Annual Property Tax Costs'!$27:$27,0))</f>
        <v>4067205.9832050465</v>
      </c>
      <c r="O46" s="153">
        <f>INDEX('Annual Property Tax Costs'!$44:$44,1,MATCH($H$7&amp;"_"&amp;O$29,'Annual Property Tax Costs'!$27:$27,0))</f>
        <v>3036034.9818217093</v>
      </c>
      <c r="P46" s="246"/>
      <c r="Q46" s="328"/>
      <c r="R46" s="153">
        <f ca="1">INDEX('Annual Property Tax Costs'!$46:$46,1,MATCH($H$7&amp;"_"&amp;R$29,'Annual Property Tax Costs'!$27:$27,0))</f>
        <v>3313308.5900105019</v>
      </c>
      <c r="S46" s="153">
        <f ca="1">INDEX('Annual Property Tax Costs'!$46:$46,1,MATCH($H$7&amp;"_"&amp;S$29,'Annual Property Tax Costs'!$27:$27,0))</f>
        <v>22904029.786305614</v>
      </c>
      <c r="T46" s="153">
        <f ca="1">INDEX('Annual Property Tax Costs'!$46:$46,1,MATCH($H$7&amp;"_"&amp;T$29,'Annual Property Tax Costs'!$27:$27,0))</f>
        <v>12582163.883989282</v>
      </c>
      <c r="U46" s="153">
        <f ca="1">INDEX('Annual Property Tax Costs'!$46:$46,1,MATCH($H$7&amp;"_"&amp;U$29,'Annual Property Tax Costs'!$27:$27,0))</f>
        <v>4181009.5689684195</v>
      </c>
      <c r="V46" s="153">
        <f ca="1">INDEX('Annual Property Tax Costs'!$46:$46,1,MATCH($H$7&amp;"_"&amp;V$29,'Annual Property Tax Costs'!$27:$27,0))</f>
        <v>3120985.6012054062</v>
      </c>
      <c r="Y46" s="79"/>
      <c r="Z46" s="219" t="str">
        <f>'S&amp;L CC+CT - O&amp;M Costs'!$D19</f>
        <v xml:space="preserve">     Property Taxes</v>
      </c>
    </row>
    <row r="47" spans="1:26" s="152" customFormat="1" ht="15" customHeight="1" x14ac:dyDescent="0.35">
      <c r="A47" s="313">
        <f>MAX($A$10:A46)+1</f>
        <v>17</v>
      </c>
      <c r="D47" s="215" t="s">
        <v>202</v>
      </c>
      <c r="E47" s="152" t="str">
        <f t="shared" si="3"/>
        <v>$/year</v>
      </c>
      <c r="F47" s="312" t="str">
        <f t="shared" si="1"/>
        <v>[17]</v>
      </c>
      <c r="G47" s="313" t="str">
        <f>'S&amp;L CC+CT - O&amp;M Costs'!$D$3</f>
        <v>Table C9</v>
      </c>
      <c r="H47" s="160">
        <f>$H$19</f>
        <v>8.9329218702034474E-2</v>
      </c>
      <c r="I47" s="328"/>
      <c r="J47" s="328"/>
      <c r="K47" s="153">
        <f>INDEX('S&amp;L CC+CT - O&amp;M Costs'!$K$13:$O$27,MATCH($Z47,'S&amp;L CC+CT - O&amp;M Costs'!$D$13:$D$27,0),MATCH(K$29,'S&amp;L CC+CT - O&amp;M Costs'!$K$8:$O$8,0))</f>
        <v>9856252.2821634021</v>
      </c>
      <c r="L47" s="153">
        <f>INDEX('S&amp;L CC+CT - O&amp;M Costs'!$K$13:$O$27,MATCH($Z47,'S&amp;L CC+CT - O&amp;M Costs'!$D$13:$D$27,0),MATCH(L$29,'S&amp;L CC+CT - O&amp;M Costs'!$K$8:$O$8,0))</f>
        <v>18759821.782400157</v>
      </c>
      <c r="M47" s="153">
        <f>INDEX('S&amp;L CC+CT - O&amp;M Costs'!$K$13:$O$27,MATCH($Z47,'S&amp;L CC+CT - O&amp;M Costs'!$D$13:$D$27,0),MATCH(M$29,'S&amp;L CC+CT - O&amp;M Costs'!$K$8:$O$8,0))</f>
        <v>24060525.926872171</v>
      </c>
      <c r="N47" s="153">
        <f>INDEX('S&amp;L CC+CT - O&amp;M Costs'!$K$13:$O$27,MATCH($Z47,'S&amp;L CC+CT - O&amp;M Costs'!$D$13:$D$27,0),MATCH(N$29,'S&amp;L CC+CT - O&amp;M Costs'!$K$8:$O$8,0))</f>
        <v>17165831.519580483</v>
      </c>
      <c r="O47" s="153">
        <f>INDEX('S&amp;L CC+CT - O&amp;M Costs'!$K$13:$O$27,MATCH($Z47,'S&amp;L CC+CT - O&amp;M Costs'!$D$13:$D$27,0),MATCH(O$29,'S&amp;L CC+CT - O&amp;M Costs'!$K$8:$O$8,0))</f>
        <v>7861780.4570438405</v>
      </c>
      <c r="P47" s="246"/>
      <c r="Q47" s="328"/>
      <c r="R47" s="156">
        <f>K47*(1+$H47)</f>
        <v>10736703.597859204</v>
      </c>
      <c r="S47" s="156">
        <f>L47*(1+$H47)</f>
        <v>20435622.005211372</v>
      </c>
      <c r="T47" s="156">
        <f>M47*(1+$H47)</f>
        <v>26209833.909479707</v>
      </c>
      <c r="U47" s="156">
        <f>N47*(1+$H47)</f>
        <v>18699241.837595366</v>
      </c>
      <c r="V47" s="156">
        <f>O47*(1+$H47)</f>
        <v>8564067.162878491</v>
      </c>
      <c r="Y47" s="79"/>
      <c r="Z47" s="219" t="str">
        <f>'S&amp;L CC+CT - O&amp;M Costs'!$D20</f>
        <v xml:space="preserve">  Firm Gas Contract</v>
      </c>
    </row>
    <row r="48" spans="1:26" s="152" customFormat="1" ht="15" customHeight="1" x14ac:dyDescent="0.35">
      <c r="A48" s="313">
        <f>MAX($A$10:A47)+1</f>
        <v>18</v>
      </c>
      <c r="D48" s="215" t="s">
        <v>648</v>
      </c>
      <c r="E48" s="152" t="str">
        <f t="shared" si="3"/>
        <v>$/year</v>
      </c>
      <c r="F48" s="213" t="str">
        <f>"["&amp;A48&amp;"]"</f>
        <v>[18]</v>
      </c>
      <c r="G48" s="313" t="str">
        <f>F15&amp;" x "&amp;F16&amp;" x "&amp;F37</f>
        <v>[5] x [6] x [9]</v>
      </c>
      <c r="H48" s="160"/>
      <c r="I48" s="357"/>
      <c r="J48" s="357"/>
      <c r="K48" s="153">
        <f>$H$15*K37*$H$16</f>
        <v>572140.86689410429</v>
      </c>
      <c r="L48" s="153">
        <f t="shared" ref="L48:O48" si="4">$H$15*L37*$H$16</f>
        <v>532665.76387397107</v>
      </c>
      <c r="M48" s="153">
        <f t="shared" si="4"/>
        <v>530364.09818771086</v>
      </c>
      <c r="N48" s="153">
        <f t="shared" si="4"/>
        <v>545830.46472249366</v>
      </c>
      <c r="O48" s="153">
        <f t="shared" si="4"/>
        <v>623462.51912004931</v>
      </c>
      <c r="P48" s="246"/>
      <c r="Q48" s="328"/>
      <c r="R48" s="153">
        <f>$H$15*R37*$H$16</f>
        <v>573545.25442244648</v>
      </c>
      <c r="S48" s="153">
        <f t="shared" ref="S48:V48" si="5">$H$15*S37*$H$16</f>
        <v>533542.02305446984</v>
      </c>
      <c r="T48" s="153">
        <f t="shared" si="5"/>
        <v>531101.84574423148</v>
      </c>
      <c r="U48" s="153">
        <f t="shared" si="5"/>
        <v>546684.75716410368</v>
      </c>
      <c r="V48" s="153">
        <f t="shared" si="5"/>
        <v>625528.6593011613</v>
      </c>
      <c r="Y48" s="79"/>
      <c r="Z48" s="219"/>
    </row>
    <row r="49" spans="1:28" s="152" customFormat="1" ht="6" customHeight="1" x14ac:dyDescent="0.35">
      <c r="A49" s="151"/>
      <c r="D49" s="215"/>
      <c r="F49" s="213"/>
      <c r="G49" s="313"/>
      <c r="H49" s="160"/>
      <c r="I49" s="357"/>
      <c r="J49" s="357"/>
      <c r="K49" s="153"/>
      <c r="L49" s="153"/>
      <c r="M49" s="153"/>
      <c r="N49" s="153"/>
      <c r="O49" s="153"/>
      <c r="P49" s="204"/>
      <c r="Q49" s="357"/>
      <c r="R49" s="153"/>
      <c r="S49" s="153"/>
      <c r="T49" s="153"/>
      <c r="U49" s="153"/>
      <c r="V49" s="153"/>
      <c r="Y49" s="79"/>
      <c r="Z49" s="214"/>
    </row>
    <row r="50" spans="1:28" s="152" customFormat="1" ht="15" customHeight="1" x14ac:dyDescent="0.35">
      <c r="A50" s="151"/>
      <c r="D50" s="235" t="s">
        <v>220</v>
      </c>
      <c r="F50" s="213"/>
      <c r="G50" s="313"/>
      <c r="H50" s="160"/>
      <c r="I50" s="357"/>
      <c r="J50" s="357"/>
      <c r="K50" s="153"/>
      <c r="L50" s="153"/>
      <c r="M50" s="153"/>
      <c r="N50" s="153"/>
      <c r="O50" s="153"/>
      <c r="P50" s="204"/>
      <c r="Q50" s="357"/>
      <c r="R50" s="153"/>
      <c r="S50" s="153"/>
      <c r="T50" s="153"/>
      <c r="U50" s="153"/>
      <c r="V50" s="153"/>
      <c r="Y50" s="79"/>
      <c r="Z50" s="214"/>
    </row>
    <row r="51" spans="1:28" s="152" customFormat="1" ht="15" customHeight="1" x14ac:dyDescent="0.35">
      <c r="A51" s="151">
        <f>MAX($A$10:A50)+1</f>
        <v>19</v>
      </c>
      <c r="D51" s="223" t="s">
        <v>158</v>
      </c>
      <c r="E51" s="161" t="str">
        <f>"$/year"</f>
        <v>$/year</v>
      </c>
      <c r="F51" s="224" t="str">
        <f>"["&amp;A51&amp;"]"</f>
        <v>[19]</v>
      </c>
      <c r="G51" s="2129" t="str">
        <f>"SUM("&amp;$F$40&amp;":"&amp;$F$48&amp;")"</f>
        <v>SUM([10]:[18])</v>
      </c>
      <c r="H51" s="161"/>
      <c r="I51" s="283"/>
      <c r="J51" s="283"/>
      <c r="K51" s="164">
        <f>SUM(K$40:K$48)</f>
        <v>41508397.951286517</v>
      </c>
      <c r="L51" s="164">
        <f>SUM(L$40:L$48)</f>
        <v>69758795.838759899</v>
      </c>
      <c r="M51" s="164">
        <f>SUM(M$40:M$48)</f>
        <v>61619323.559386954</v>
      </c>
      <c r="N51" s="164">
        <f>SUM(N$40:N$48)</f>
        <v>47914352.40818356</v>
      </c>
      <c r="O51" s="164">
        <f>SUM(O$40:O$48)</f>
        <v>40093369.264223367</v>
      </c>
      <c r="P51" s="204"/>
      <c r="Q51" s="283"/>
      <c r="R51" s="164">
        <f ca="1">SUM(R$40:R$48)</f>
        <v>43951755.080162436</v>
      </c>
      <c r="S51" s="164">
        <f ca="1">SUM(S$40:S$48)</f>
        <v>72997175.601568416</v>
      </c>
      <c r="T51" s="164">
        <f ca="1">SUM(T$40:T$48)</f>
        <v>65076871.923501581</v>
      </c>
      <c r="U51" s="164">
        <f ca="1">SUM(U$40:U$48)</f>
        <v>50916803.321328327</v>
      </c>
      <c r="V51" s="164">
        <f ca="1">SUM(V$40:V$48)</f>
        <v>42337605.009853303</v>
      </c>
      <c r="Y51" s="79"/>
      <c r="Z51" s="214"/>
    </row>
    <row r="52" spans="1:28" s="152" customFormat="1" ht="15" customHeight="1" x14ac:dyDescent="0.35">
      <c r="A52" s="151">
        <f>MAX($A$10:A51)+1</f>
        <v>20</v>
      </c>
      <c r="D52" s="223" t="s">
        <v>158</v>
      </c>
      <c r="E52" s="161" t="str">
        <f>"$/kW-yr"</f>
        <v>$/kW-yr</v>
      </c>
      <c r="F52" s="224" t="str">
        <f>"["&amp;A52&amp;"]"</f>
        <v>[20]</v>
      </c>
      <c r="G52" s="2129" t="str">
        <f>$F$51&amp;" / ("&amp;F34&amp;" x 1000)"</f>
        <v>[19] / ([8] x 1000)</v>
      </c>
      <c r="H52" s="161"/>
      <c r="I52" s="283"/>
      <c r="J52" s="283"/>
      <c r="K52" s="236">
        <f>K$51/(K$34*1000)</f>
        <v>32.198992919428449</v>
      </c>
      <c r="L52" s="236">
        <f>L$51/(L$34*1000)</f>
        <v>54.1061135990183</v>
      </c>
      <c r="M52" s="236">
        <f>M$51/(M$34*1000)</f>
        <v>48.285556770542314</v>
      </c>
      <c r="N52" s="236">
        <f>N$51/(N$34*1000)</f>
        <v>37.920154427441503</v>
      </c>
      <c r="O52" s="236">
        <f>O$51/(O$34*1000)</f>
        <v>30.988846239158576</v>
      </c>
      <c r="P52" s="204"/>
      <c r="Q52" s="283"/>
      <c r="R52" s="236">
        <f ca="1">R$51/(R$34*1000)</f>
        <v>34.094359707244266</v>
      </c>
      <c r="S52" s="236">
        <f ca="1">S$51/(S$34*1000)</f>
        <v>56.617856257654111</v>
      </c>
      <c r="T52" s="236">
        <f ca="1">T$51/(T$34*1000)</f>
        <v>50.994928412076995</v>
      </c>
      <c r="U52" s="236">
        <f ca="1">U$51/(U$34*1000)</f>
        <v>40.296340195691954</v>
      </c>
      <c r="V52" s="236">
        <f ca="1">V$51/(V$34*1000)</f>
        <v>32.723454173638352</v>
      </c>
      <c r="Y52" s="79"/>
      <c r="Z52" s="214"/>
    </row>
    <row r="53" spans="1:28" s="152" customFormat="1" ht="6" customHeight="1" x14ac:dyDescent="0.35">
      <c r="D53" s="1002"/>
      <c r="E53" s="1003"/>
      <c r="F53" s="1003"/>
      <c r="G53" s="1002"/>
      <c r="H53" s="1003"/>
      <c r="I53" s="1003"/>
      <c r="J53" s="1003"/>
      <c r="K53" s="1002"/>
      <c r="L53" s="1002"/>
      <c r="M53" s="1002"/>
      <c r="N53" s="1002"/>
      <c r="O53" s="1002"/>
      <c r="P53" s="1003"/>
      <c r="Q53" s="1003"/>
      <c r="R53" s="1002"/>
      <c r="S53" s="1002"/>
      <c r="T53" s="1002"/>
      <c r="U53" s="1002"/>
      <c r="V53" s="1002"/>
      <c r="Y53" s="79"/>
      <c r="Z53" s="214"/>
    </row>
    <row r="54" spans="1:28" s="152" customFormat="1" ht="6" customHeight="1" x14ac:dyDescent="0.35">
      <c r="D54" s="151"/>
      <c r="G54" s="313"/>
      <c r="I54" s="204"/>
      <c r="J54" s="204"/>
      <c r="K54" s="313"/>
      <c r="L54" s="313"/>
      <c r="M54" s="313"/>
      <c r="N54" s="313"/>
      <c r="O54" s="313"/>
      <c r="P54" s="204"/>
      <c r="Q54" s="204"/>
      <c r="R54" s="313"/>
      <c r="S54" s="313"/>
      <c r="T54" s="313"/>
      <c r="U54" s="313"/>
      <c r="V54" s="313"/>
      <c r="Y54" s="79"/>
      <c r="Z54" s="214"/>
    </row>
    <row r="55" spans="1:28" s="152" customFormat="1" ht="15" customHeight="1" x14ac:dyDescent="0.35">
      <c r="A55" s="151">
        <f>MAX($A$10:A54)+1</f>
        <v>21</v>
      </c>
      <c r="D55" s="162" t="s">
        <v>491</v>
      </c>
      <c r="E55" s="161" t="str">
        <f>"$/MWh"</f>
        <v>$/MWh</v>
      </c>
      <c r="F55" s="224" t="str">
        <f>"["&amp;A55&amp;"]"</f>
        <v>[21]</v>
      </c>
      <c r="G55" s="2129" t="str">
        <f>F56&amp;" + "&amp;F57</f>
        <v>[22] + [23]</v>
      </c>
      <c r="H55" s="161"/>
      <c r="I55" s="161"/>
      <c r="J55" s="161"/>
      <c r="K55" s="236">
        <f>K56+K57</f>
        <v>2.4089770332005154</v>
      </c>
      <c r="L55" s="236">
        <f>L56+L57</f>
        <v>2.4060822759348541</v>
      </c>
      <c r="M55" s="236">
        <f>M56+M57</f>
        <v>2.433849291542344</v>
      </c>
      <c r="N55" s="236">
        <f>N56+N57</f>
        <v>2.4564873498003044</v>
      </c>
      <c r="O55" s="236">
        <f>O56+O57</f>
        <v>2.4019893951277229</v>
      </c>
      <c r="P55" s="204"/>
      <c r="Q55" s="283"/>
      <c r="R55" s="236">
        <f>R56+R57</f>
        <v>2.6241690694474626</v>
      </c>
      <c r="S55" s="236">
        <f>S56+S57</f>
        <v>2.6210157257769273</v>
      </c>
      <c r="T55" s="236">
        <f>T56+T57</f>
        <v>2.6512631471943218</v>
      </c>
      <c r="U55" s="236">
        <f>U56+U57</f>
        <v>2.675923445509397</v>
      </c>
      <c r="V55" s="236">
        <f>V56+V57</f>
        <v>2.6165572311250549</v>
      </c>
      <c r="Z55" s="214"/>
    </row>
    <row r="56" spans="1:28" s="152" customFormat="1" ht="15" customHeight="1" x14ac:dyDescent="0.35">
      <c r="A56" s="151">
        <f>MAX($A$10:A55)+1</f>
        <v>22</v>
      </c>
      <c r="D56" s="216" t="s">
        <v>209</v>
      </c>
      <c r="E56" s="152" t="str">
        <f>"$/MWh"</f>
        <v>$/MWh</v>
      </c>
      <c r="F56" s="213" t="str">
        <f>"["&amp;A56&amp;"]"</f>
        <v>[22]</v>
      </c>
      <c r="G56" s="313" t="str">
        <f>'S&amp;L CC+CT - O&amp;M Costs'!$D$3</f>
        <v>Table C9</v>
      </c>
      <c r="H56" s="160">
        <f>$H$19</f>
        <v>8.9329218702034474E-2</v>
      </c>
      <c r="I56" s="160"/>
      <c r="J56" s="160"/>
      <c r="K56" s="158">
        <f>INDEX('S&amp;L CC+CT - O&amp;M Costs'!$K$13:$O$27,MATCH($Z56,'S&amp;L CC+CT - O&amp;M Costs'!$D$13:$D$27,0),MATCH(K$29,'S&amp;L CC+CT - O&amp;M Costs'!$K$8:$O$8,0))</f>
        <v>1.7067628610827794</v>
      </c>
      <c r="L56" s="158">
        <f>INDEX('S&amp;L CC+CT - O&amp;M Costs'!$K$13:$O$27,MATCH($Z56,'S&amp;L CC+CT - O&amp;M Costs'!$D$13:$D$27,0),MATCH(L$29,'S&amp;L CC+CT - O&amp;M Costs'!$K$8:$O$8,0))</f>
        <v>1.7043784433769766</v>
      </c>
      <c r="M56" s="158">
        <f>INDEX('S&amp;L CC+CT - O&amp;M Costs'!$K$13:$O$27,MATCH($Z56,'S&amp;L CC+CT - O&amp;M Costs'!$D$13:$D$27,0),MATCH(M$29,'S&amp;L CC+CT - O&amp;M Costs'!$K$8:$O$8,0))</f>
        <v>1.7272501930871094</v>
      </c>
      <c r="N56" s="158">
        <f>INDEX('S&amp;L CC+CT - O&amp;M Costs'!$K$13:$O$27,MATCH($Z56,'S&amp;L CC+CT - O&amp;M Costs'!$D$13:$D$27,0),MATCH(N$29,'S&amp;L CC+CT - O&amp;M Costs'!$K$8:$O$8,0))</f>
        <v>1.7458972097387588</v>
      </c>
      <c r="O56" s="158">
        <f>INDEX('S&amp;L CC+CT - O&amp;M Costs'!$K$13:$O$27,MATCH($Z56,'S&amp;L CC+CT - O&amp;M Costs'!$D$13:$D$27,0),MATCH(O$29,'S&amp;L CC+CT - O&amp;M Costs'!$K$8:$O$8,0))</f>
        <v>1.7010071287662394</v>
      </c>
      <c r="P56" s="204"/>
      <c r="Q56" s="357"/>
      <c r="R56" s="163">
        <f t="shared" ref="R56:V57" si="6">K56*(1+$H56)</f>
        <v>1.8592266539729532</v>
      </c>
      <c r="S56" s="163">
        <f t="shared" si="6"/>
        <v>1.8566292380964318</v>
      </c>
      <c r="T56" s="163">
        <f t="shared" si="6"/>
        <v>1.881544103338519</v>
      </c>
      <c r="U56" s="163">
        <f t="shared" si="6"/>
        <v>1.9018568434187841</v>
      </c>
      <c r="V56" s="163">
        <f t="shared" si="6"/>
        <v>1.8529567665855184</v>
      </c>
      <c r="Z56" s="219" t="str">
        <f>'S&amp;L CC+CT - O&amp;M Costs'!D24</f>
        <v>Major Maintenance - (Hours Based)*</v>
      </c>
    </row>
    <row r="57" spans="1:28" s="152" customFormat="1" ht="15" customHeight="1" x14ac:dyDescent="0.35">
      <c r="A57" s="151">
        <f>MAX($A$10:A56)+1</f>
        <v>23</v>
      </c>
      <c r="D57" s="216" t="s">
        <v>115</v>
      </c>
      <c r="E57" s="152" t="str">
        <f>"$/MWh"</f>
        <v>$/MWh</v>
      </c>
      <c r="F57" s="213" t="str">
        <f>"["&amp;A57&amp;"]"</f>
        <v>[23]</v>
      </c>
      <c r="G57" s="313" t="str">
        <f>'S&amp;L CC+CT - O&amp;M Costs'!$D$3</f>
        <v>Table C9</v>
      </c>
      <c r="H57" s="160">
        <f>$H$19</f>
        <v>8.9329218702034474E-2</v>
      </c>
      <c r="I57" s="160"/>
      <c r="J57" s="160"/>
      <c r="K57" s="158">
        <f>INDEX('S&amp;L CC+CT - O&amp;M Costs'!$K$13:$O$27,MATCH($Z57,'S&amp;L CC+CT - O&amp;M Costs'!$D$13:$D$27,0),MATCH(K$29,'S&amp;L CC+CT - O&amp;M Costs'!$K$8:$O$8,0))</f>
        <v>0.70221417211773618</v>
      </c>
      <c r="L57" s="158">
        <f>INDEX('S&amp;L CC+CT - O&amp;M Costs'!$K$13:$O$27,MATCH($Z57,'S&amp;L CC+CT - O&amp;M Costs'!$D$13:$D$27,0),MATCH(L$29,'S&amp;L CC+CT - O&amp;M Costs'!$K$8:$O$8,0))</f>
        <v>0.70170383255787727</v>
      </c>
      <c r="M57" s="158">
        <f>INDEX('S&amp;L CC+CT - O&amp;M Costs'!$K$13:$O$27,MATCH($Z57,'S&amp;L CC+CT - O&amp;M Costs'!$D$13:$D$27,0),MATCH(M$29,'S&amp;L CC+CT - O&amp;M Costs'!$K$8:$O$8,0))</f>
        <v>0.70659909845523461</v>
      </c>
      <c r="N57" s="158">
        <f>INDEX('S&amp;L CC+CT - O&amp;M Costs'!$K$13:$O$27,MATCH($Z57,'S&amp;L CC+CT - O&amp;M Costs'!$D$13:$D$27,0),MATCH(N$29,'S&amp;L CC+CT - O&amp;M Costs'!$K$8:$O$8,0))</f>
        <v>0.71059014006154575</v>
      </c>
      <c r="O57" s="158">
        <f>INDEX('S&amp;L CC+CT - O&amp;M Costs'!$K$13:$O$27,MATCH($Z57,'S&amp;L CC+CT - O&amp;M Costs'!$D$13:$D$27,0),MATCH(O$29,'S&amp;L CC+CT - O&amp;M Costs'!$K$8:$O$8,0))</f>
        <v>0.70098226636148375</v>
      </c>
      <c r="P57" s="204"/>
      <c r="Q57" s="357"/>
      <c r="R57" s="163">
        <f t="shared" si="6"/>
        <v>0.76494241547450947</v>
      </c>
      <c r="S57" s="163">
        <f t="shared" si="6"/>
        <v>0.76438648768049566</v>
      </c>
      <c r="T57" s="163">
        <f t="shared" si="6"/>
        <v>0.7697190438558027</v>
      </c>
      <c r="U57" s="163">
        <f t="shared" si="6"/>
        <v>0.77406660209061284</v>
      </c>
      <c r="V57" s="163">
        <f t="shared" si="6"/>
        <v>0.76360046453953656</v>
      </c>
      <c r="Z57" s="219" t="str">
        <f>'S&amp;L CC+CT - O&amp;M Costs'!D25</f>
        <v xml:space="preserve">     Consumables, Waste Disposal, and Other VOM</v>
      </c>
    </row>
    <row r="58" spans="1:28" s="152" customFormat="1" ht="6" customHeight="1" thickBot="1" x14ac:dyDescent="0.4">
      <c r="D58" s="237"/>
      <c r="E58" s="237"/>
      <c r="F58" s="237"/>
      <c r="G58" s="238"/>
      <c r="H58" s="238"/>
      <c r="I58" s="238"/>
      <c r="J58" s="238"/>
      <c r="K58" s="238"/>
      <c r="L58" s="238"/>
      <c r="M58" s="238"/>
      <c r="N58" s="238"/>
      <c r="O58" s="238"/>
      <c r="P58" s="237"/>
      <c r="Q58" s="237"/>
      <c r="R58" s="238"/>
      <c r="S58" s="238"/>
      <c r="T58" s="238"/>
      <c r="U58" s="238"/>
      <c r="V58" s="238"/>
      <c r="Z58" s="214"/>
    </row>
    <row r="59" spans="1:28" ht="6" customHeight="1" thickTop="1" x14ac:dyDescent="0.35">
      <c r="R59" s="26"/>
      <c r="S59" s="26"/>
      <c r="T59" s="26"/>
      <c r="U59" s="26"/>
    </row>
    <row r="60" spans="1:28" ht="15" customHeight="1" x14ac:dyDescent="0.35">
      <c r="D60" s="5" t="s">
        <v>50</v>
      </c>
      <c r="R60" s="26"/>
      <c r="S60" s="26"/>
      <c r="T60" s="26"/>
      <c r="U60" s="26"/>
    </row>
    <row r="61" spans="1:28" s="1115" customFormat="1" ht="15" customHeight="1" x14ac:dyDescent="0.35">
      <c r="D61" s="404" t="s">
        <v>679</v>
      </c>
      <c r="Z61" s="36"/>
      <c r="AA61" s="5"/>
      <c r="AB61" s="5"/>
    </row>
    <row r="62" spans="1:28" ht="15" customHeight="1" x14ac:dyDescent="0.35">
      <c r="D62" s="93" t="str">
        <f>R25&amp;" to "&amp;V25&amp;": All cost components are escalated to the Online Date according to the Escalation Rate in "&amp;$H$25&amp;"."</f>
        <v>[G] to [K]: All cost components are escalated to the Online Date according to the Escalation Rate in [A].</v>
      </c>
      <c r="E62" s="147"/>
      <c r="F62" s="147"/>
      <c r="G62" s="147"/>
      <c r="H62" s="147"/>
      <c r="I62" s="147"/>
      <c r="J62" s="147"/>
      <c r="K62" s="147"/>
      <c r="L62" s="147"/>
      <c r="M62" s="147"/>
      <c r="N62" s="147"/>
      <c r="O62" s="147"/>
      <c r="P62" s="147"/>
      <c r="Q62" s="147"/>
      <c r="R62" s="147"/>
      <c r="S62" s="147"/>
      <c r="T62" s="147"/>
      <c r="U62" s="147"/>
      <c r="V62" s="147"/>
    </row>
    <row r="63" spans="1:28" ht="15" customHeight="1" x14ac:dyDescent="0.35">
      <c r="D63" s="93"/>
      <c r="E63" s="256"/>
      <c r="F63" s="256"/>
      <c r="G63" s="2064"/>
      <c r="H63" s="256"/>
      <c r="I63" s="350"/>
      <c r="J63" s="350"/>
      <c r="K63" s="976"/>
      <c r="L63" s="976"/>
      <c r="M63" s="976"/>
      <c r="N63" s="976"/>
      <c r="O63" s="976"/>
      <c r="P63" s="256"/>
      <c r="Q63" s="258"/>
      <c r="R63" s="976"/>
      <c r="S63" s="976"/>
      <c r="T63" s="976"/>
      <c r="U63" s="976"/>
      <c r="V63" s="976"/>
    </row>
    <row r="64" spans="1:28" ht="15" customHeight="1" x14ac:dyDescent="0.35">
      <c r="D64" s="93"/>
      <c r="E64" s="256"/>
      <c r="F64" s="256"/>
      <c r="G64" s="2064"/>
      <c r="H64" s="256"/>
      <c r="I64" s="350"/>
      <c r="J64" s="350"/>
      <c r="K64" s="976"/>
      <c r="L64" s="1090"/>
      <c r="M64" s="1090"/>
      <c r="N64" s="1090"/>
      <c r="O64" s="1090"/>
      <c r="P64" s="256"/>
      <c r="Q64" s="258"/>
      <c r="R64" s="976"/>
      <c r="S64" s="976"/>
      <c r="T64" s="976"/>
      <c r="U64" s="976"/>
      <c r="V64" s="976"/>
    </row>
    <row r="65" spans="4:22" ht="15" customHeight="1" x14ac:dyDescent="0.35">
      <c r="D65" s="93"/>
      <c r="E65" s="256"/>
      <c r="F65" s="256"/>
      <c r="G65" s="2064"/>
      <c r="H65" s="256"/>
      <c r="I65" s="350"/>
      <c r="J65" s="350"/>
      <c r="K65" s="1090"/>
      <c r="L65" s="1090"/>
      <c r="M65" s="1090"/>
      <c r="N65" s="1090"/>
      <c r="O65" s="1090"/>
      <c r="P65" s="256"/>
      <c r="Q65" s="258"/>
      <c r="R65" s="976"/>
      <c r="S65" s="976"/>
      <c r="T65" s="976"/>
      <c r="U65" s="976"/>
      <c r="V65" s="976"/>
    </row>
    <row r="66" spans="4:22" ht="15" customHeight="1" x14ac:dyDescent="0.35">
      <c r="D66" s="93"/>
      <c r="E66" s="256"/>
      <c r="F66" s="256"/>
      <c r="G66" s="2064"/>
      <c r="H66" s="256"/>
      <c r="I66" s="350"/>
      <c r="J66" s="350"/>
      <c r="K66" s="1090"/>
      <c r="L66" s="1090"/>
      <c r="M66" s="1090"/>
      <c r="N66" s="1090"/>
      <c r="O66" s="1090"/>
      <c r="P66" s="256"/>
      <c r="Q66" s="258"/>
      <c r="R66" s="258"/>
      <c r="S66" s="258"/>
      <c r="T66" s="258"/>
      <c r="U66" s="258"/>
      <c r="V66" s="256"/>
    </row>
    <row r="67" spans="4:22" ht="15" customHeight="1" x14ac:dyDescent="0.35">
      <c r="D67" s="93"/>
      <c r="E67" s="256"/>
      <c r="F67" s="256"/>
      <c r="G67" s="2064"/>
      <c r="H67" s="256"/>
      <c r="I67" s="350"/>
      <c r="J67" s="350"/>
      <c r="K67" s="1090"/>
      <c r="L67" s="1090"/>
      <c r="M67" s="1090"/>
      <c r="N67" s="1090"/>
      <c r="O67" s="1090"/>
      <c r="P67" s="256"/>
      <c r="Q67" s="258"/>
      <c r="R67" s="258"/>
      <c r="S67" s="258"/>
      <c r="T67" s="258"/>
      <c r="U67" s="258"/>
      <c r="V67" s="256"/>
    </row>
    <row r="68" spans="4:22" ht="15" customHeight="1" x14ac:dyDescent="0.35">
      <c r="D68" s="93"/>
      <c r="E68" s="256"/>
      <c r="F68" s="256"/>
      <c r="G68" s="2064"/>
      <c r="H68" s="256"/>
      <c r="I68" s="350"/>
      <c r="J68" s="350"/>
      <c r="K68" s="1090"/>
      <c r="L68" s="1090"/>
      <c r="M68" s="1090"/>
      <c r="N68" s="1090"/>
      <c r="O68" s="1090"/>
      <c r="P68" s="256"/>
      <c r="Q68" s="258"/>
      <c r="R68" s="258"/>
      <c r="S68" s="258"/>
      <c r="T68" s="258"/>
      <c r="U68" s="258"/>
      <c r="V68" s="256"/>
    </row>
    <row r="69" spans="4:22" ht="15" customHeight="1" x14ac:dyDescent="0.35">
      <c r="D69" s="93"/>
      <c r="E69" s="256"/>
      <c r="F69" s="256"/>
      <c r="G69" s="2064"/>
      <c r="H69" s="256"/>
      <c r="I69" s="350"/>
      <c r="J69" s="350"/>
      <c r="K69" s="1090"/>
      <c r="L69" s="1090"/>
      <c r="M69" s="1090"/>
      <c r="N69" s="1090"/>
      <c r="O69" s="1090"/>
      <c r="P69" s="256"/>
      <c r="Q69" s="258"/>
      <c r="R69" s="258"/>
      <c r="S69" s="258"/>
      <c r="T69" s="258"/>
      <c r="U69" s="258"/>
      <c r="V69" s="256"/>
    </row>
    <row r="70" spans="4:22" ht="15" customHeight="1" x14ac:dyDescent="0.35">
      <c r="D70" s="27"/>
      <c r="K70" s="1090"/>
      <c r="L70" s="1090"/>
      <c r="M70" s="1090"/>
      <c r="N70" s="1090"/>
      <c r="O70" s="1090"/>
    </row>
    <row r="71" spans="4:22" ht="15" customHeight="1" x14ac:dyDescent="0.35">
      <c r="K71" s="1090"/>
      <c r="L71" s="1090"/>
      <c r="M71" s="1090"/>
      <c r="N71" s="1090"/>
      <c r="O71" s="1090"/>
    </row>
    <row r="72" spans="4:22" ht="15" customHeight="1" x14ac:dyDescent="0.35">
      <c r="K72" s="1090"/>
      <c r="L72" s="1090"/>
      <c r="M72" s="1090"/>
      <c r="N72" s="1090"/>
      <c r="O72" s="1090"/>
    </row>
    <row r="73" spans="4:22" ht="15" customHeight="1" x14ac:dyDescent="0.35">
      <c r="K73" s="1090"/>
      <c r="L73" s="1090"/>
      <c r="M73" s="1090"/>
      <c r="N73" s="1090"/>
      <c r="O73" s="1090"/>
    </row>
    <row r="74" spans="4:22" ht="15" customHeight="1" x14ac:dyDescent="0.35">
      <c r="K74" s="1090"/>
      <c r="L74" s="1090"/>
      <c r="M74" s="1090"/>
      <c r="N74" s="1090"/>
      <c r="O74" s="1090"/>
    </row>
    <row r="75" spans="4:22" ht="15" customHeight="1" x14ac:dyDescent="0.35">
      <c r="K75" s="1090"/>
      <c r="L75" s="1090"/>
      <c r="M75" s="1090"/>
      <c r="N75" s="1090"/>
      <c r="O75" s="1090"/>
    </row>
  </sheetData>
  <mergeCells count="1">
    <mergeCell ref="D29:D30"/>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EB9C-D606-49BC-8841-D865AA4372C5}">
  <sheetPr codeName="Sheet27">
    <pageSetUpPr autoPageBreaks="0"/>
  </sheetPr>
  <dimension ref="A1:AC69"/>
  <sheetViews>
    <sheetView showGridLines="0" zoomScale="70" zoomScaleNormal="70" workbookViewId="0"/>
  </sheetViews>
  <sheetFormatPr defaultColWidth="8.7265625" defaultRowHeight="15" customHeight="1" outlineLevelCol="1" x14ac:dyDescent="0.35"/>
  <cols>
    <col min="1" max="3" width="13.54296875" style="5" customWidth="1"/>
    <col min="4" max="4" width="48.26953125" style="5" customWidth="1"/>
    <col min="5" max="5" width="26.1796875" style="5" bestFit="1" customWidth="1"/>
    <col min="6" max="6" width="5.7265625" style="5" customWidth="1"/>
    <col min="7" max="7" width="14" style="26" bestFit="1" customWidth="1"/>
    <col min="8" max="8" width="13.54296875" style="26" bestFit="1" customWidth="1"/>
    <col min="9" max="10" width="0.81640625" style="26" customWidth="1"/>
    <col min="11" max="15" width="13.54296875" style="26" customWidth="1"/>
    <col min="16" max="17" width="0.81640625" style="5" customWidth="1"/>
    <col min="18" max="21" width="13.54296875" style="5" customWidth="1"/>
    <col min="22" max="22" width="13.54296875" style="26" customWidth="1"/>
    <col min="23" max="23" width="8.7265625" style="5"/>
    <col min="24" max="24" width="11.1796875" style="5" bestFit="1" customWidth="1"/>
    <col min="25" max="25" width="12.26953125" style="5" bestFit="1" customWidth="1"/>
    <col min="26" max="26" width="63.1796875" style="36" hidden="1" customWidth="1" outlineLevel="1"/>
    <col min="27" max="27" width="8.7265625" style="5" collapsed="1"/>
    <col min="28" max="16384" width="8.7265625" style="5"/>
  </cols>
  <sheetData>
    <row r="1" spans="1:28" ht="15" customHeight="1" x14ac:dyDescent="0.35">
      <c r="A1" s="81" t="s">
        <v>275</v>
      </c>
      <c r="H1" s="26">
        <f>65</f>
        <v>65</v>
      </c>
      <c r="K1" s="5">
        <f>MAX($H$1:H1)+1</f>
        <v>66</v>
      </c>
      <c r="L1" s="5">
        <f>MAX($H$1:K1)+1</f>
        <v>67</v>
      </c>
      <c r="M1" s="5">
        <f>MAX($H$1:L1)+1</f>
        <v>68</v>
      </c>
      <c r="N1" s="5">
        <f>MAX($H$1:M1)+1</f>
        <v>69</v>
      </c>
      <c r="O1" s="5">
        <f>MAX($H$1:N1)+1</f>
        <v>70</v>
      </c>
      <c r="R1" s="5">
        <f>MAX($H$1:Q1)+1</f>
        <v>71</v>
      </c>
      <c r="S1" s="5">
        <f>MAX($H$1:R1)+1</f>
        <v>72</v>
      </c>
      <c r="T1" s="5">
        <f>MAX($H$1:S1)+1</f>
        <v>73</v>
      </c>
      <c r="U1" s="5">
        <f>MAX($H$1:T1)+1</f>
        <v>74</v>
      </c>
      <c r="V1" s="5">
        <f>MAX($H$1:U1)+1</f>
        <v>75</v>
      </c>
    </row>
    <row r="3" spans="1:28" ht="15" customHeight="1" x14ac:dyDescent="0.35">
      <c r="D3" s="9" t="str">
        <f>LEFT($D4, FIND(":",$D4)-1)</f>
        <v>Table B4</v>
      </c>
    </row>
    <row r="4" spans="1:28" ht="15" customHeight="1" x14ac:dyDescent="0.35">
      <c r="D4" s="2" t="str">
        <f>ToC!$J$32</f>
        <v>Table B4: BESS Operations and Maintenance Cost Escalation</v>
      </c>
    </row>
    <row r="5" spans="1:28" ht="6" customHeight="1" thickBot="1" x14ac:dyDescent="0.4">
      <c r="D5" s="20"/>
      <c r="E5" s="20"/>
      <c r="F5" s="20"/>
      <c r="G5" s="44"/>
      <c r="H5" s="44"/>
      <c r="I5" s="44"/>
      <c r="J5" s="44"/>
      <c r="K5" s="44"/>
      <c r="L5" s="44"/>
      <c r="M5" s="44"/>
      <c r="N5" s="44"/>
      <c r="O5" s="44"/>
      <c r="P5" s="20"/>
      <c r="Q5" s="20"/>
      <c r="R5" s="20"/>
      <c r="S5" s="20"/>
      <c r="T5" s="20"/>
      <c r="U5" s="20"/>
      <c r="V5" s="44"/>
    </row>
    <row r="6" spans="1:28" ht="6" customHeight="1" thickTop="1" x14ac:dyDescent="0.35"/>
    <row r="7" spans="1:28" s="161" customFormat="1" ht="15" customHeight="1" x14ac:dyDescent="0.35">
      <c r="A7" s="151">
        <v>1</v>
      </c>
      <c r="D7" s="365" t="str">
        <f>Control!$D$10</f>
        <v>Technology</v>
      </c>
      <c r="F7" s="213" t="str">
        <f>"["&amp;A7&amp;"]"</f>
        <v>[1]</v>
      </c>
      <c r="G7" s="313" t="str">
        <f>Control!$D$3</f>
        <v>Control Table</v>
      </c>
      <c r="H7" s="166" t="str">
        <f>Control!$K$10</f>
        <v>BESS</v>
      </c>
      <c r="I7" s="166"/>
      <c r="J7" s="166"/>
      <c r="K7" s="166"/>
      <c r="L7" s="166"/>
      <c r="M7" s="166"/>
      <c r="N7" s="166"/>
      <c r="O7" s="166"/>
      <c r="P7" s="283"/>
      <c r="Q7" s="257"/>
      <c r="R7" s="257"/>
      <c r="S7" s="257"/>
      <c r="T7" s="257"/>
      <c r="U7" s="257"/>
      <c r="V7" s="283"/>
      <c r="W7" s="283"/>
      <c r="X7" s="283"/>
      <c r="Y7" s="283"/>
      <c r="Z7" s="217" t="s">
        <v>174</v>
      </c>
      <c r="AA7" s="162"/>
      <c r="AB7" s="162"/>
    </row>
    <row r="8" spans="1:28" s="161" customFormat="1" ht="6" customHeight="1" x14ac:dyDescent="0.35">
      <c r="A8" s="313"/>
      <c r="D8" s="365"/>
      <c r="F8" s="312"/>
      <c r="G8" s="313"/>
      <c r="H8" s="166"/>
      <c r="I8" s="166"/>
      <c r="J8" s="166"/>
      <c r="K8" s="166"/>
      <c r="L8" s="166"/>
      <c r="M8" s="166"/>
      <c r="N8" s="166"/>
      <c r="O8" s="166"/>
      <c r="P8" s="283"/>
      <c r="Q8" s="257"/>
      <c r="R8" s="257"/>
      <c r="S8" s="257"/>
      <c r="T8" s="257"/>
      <c r="U8" s="257"/>
      <c r="V8" s="283"/>
      <c r="W8" s="283"/>
      <c r="X8" s="283"/>
      <c r="Y8" s="283"/>
      <c r="Z8" s="217"/>
      <c r="AA8" s="162"/>
      <c r="AB8" s="162"/>
    </row>
    <row r="9" spans="1:28" s="152" customFormat="1" ht="15" customHeight="1" x14ac:dyDescent="0.35">
      <c r="D9" s="161" t="s">
        <v>215</v>
      </c>
      <c r="G9" s="313"/>
      <c r="H9" s="151"/>
      <c r="I9" s="313"/>
      <c r="J9" s="313"/>
      <c r="K9" s="292"/>
      <c r="L9" s="292"/>
      <c r="M9" s="292"/>
      <c r="N9" s="292"/>
      <c r="O9" s="292"/>
      <c r="V9" s="151"/>
      <c r="Z9" s="214"/>
    </row>
    <row r="10" spans="1:28" s="152" customFormat="1" ht="15" customHeight="1" x14ac:dyDescent="0.35">
      <c r="A10" s="151" cm="1">
        <f t="array" ref="A10">MAX($A$7:A9+1)</f>
        <v>2</v>
      </c>
      <c r="B10" s="151"/>
      <c r="C10" s="151"/>
      <c r="D10" s="215" t="str">
        <f>Control!$D$18</f>
        <v>Cost Estimate Date</v>
      </c>
      <c r="E10" s="151"/>
      <c r="F10" s="225" t="str">
        <f>"["&amp;A10&amp;"]"</f>
        <v>[2]</v>
      </c>
      <c r="G10" s="313" t="str">
        <f>Control!$D$3</f>
        <v>Control Table</v>
      </c>
      <c r="H10" s="150">
        <f>INDEX(Control!$H$10:$H$62, MATCH($D10, Control!$D$10:$D$62, 0))</f>
        <v>45658</v>
      </c>
      <c r="I10" s="150"/>
      <c r="J10" s="150"/>
      <c r="K10" s="150"/>
      <c r="L10" s="150"/>
      <c r="M10" s="150"/>
      <c r="N10" s="150"/>
      <c r="O10" s="150"/>
      <c r="V10" s="151"/>
      <c r="Z10" s="214"/>
    </row>
    <row r="11" spans="1:28" s="152" customFormat="1" ht="15" customHeight="1" x14ac:dyDescent="0.35">
      <c r="A11" s="313" cm="1">
        <f t="array" ref="A11">MAX($A$7:A10+1)</f>
        <v>3</v>
      </c>
      <c r="B11" s="313"/>
      <c r="C11" s="313"/>
      <c r="D11" s="404" t="s">
        <v>218</v>
      </c>
      <c r="F11" s="213" t="str">
        <f>"["&amp;A11&amp;"]"</f>
        <v>[3]</v>
      </c>
      <c r="G11" s="313" t="str">
        <f>Control!$D$3</f>
        <v>Control Table</v>
      </c>
      <c r="H11" s="150">
        <f>INDEX(Control!$H$10:$H$62, MATCH($D11, Control!$D$10:$D$62, 0))</f>
        <v>46905</v>
      </c>
      <c r="I11" s="150"/>
      <c r="J11" s="150"/>
      <c r="K11" s="150"/>
      <c r="L11" s="150"/>
      <c r="M11" s="150"/>
      <c r="N11" s="150"/>
      <c r="O11" s="150"/>
      <c r="V11" s="313"/>
      <c r="Z11" s="214"/>
    </row>
    <row r="12" spans="1:28" s="152" customFormat="1" ht="6" customHeight="1" x14ac:dyDescent="0.35">
      <c r="G12" s="313"/>
      <c r="H12" s="151"/>
      <c r="I12" s="313"/>
      <c r="J12" s="313"/>
      <c r="K12" s="246"/>
      <c r="L12" s="246"/>
      <c r="M12" s="246"/>
      <c r="N12" s="246"/>
      <c r="O12" s="246"/>
      <c r="P12" s="204"/>
      <c r="Q12" s="204"/>
      <c r="R12" s="204"/>
      <c r="S12" s="204"/>
      <c r="T12" s="204"/>
      <c r="U12" s="204"/>
      <c r="V12" s="246"/>
      <c r="W12" s="204"/>
      <c r="X12" s="204"/>
      <c r="Y12" s="204"/>
      <c r="Z12" s="214"/>
      <c r="AA12" s="292"/>
      <c r="AB12" s="292"/>
    </row>
    <row r="13" spans="1:28" s="161" customFormat="1" ht="15" customHeight="1" x14ac:dyDescent="0.35">
      <c r="A13" s="151"/>
      <c r="D13" s="162" t="s">
        <v>213</v>
      </c>
      <c r="F13" s="213"/>
      <c r="G13" s="313"/>
      <c r="H13" s="166"/>
      <c r="I13" s="166"/>
      <c r="J13" s="166"/>
      <c r="K13" s="257"/>
      <c r="L13" s="257"/>
      <c r="M13" s="257"/>
      <c r="N13" s="257"/>
      <c r="O13" s="257"/>
      <c r="P13" s="283"/>
      <c r="Q13" s="283"/>
      <c r="R13" s="283"/>
      <c r="S13" s="283"/>
      <c r="T13" s="283"/>
      <c r="U13" s="283"/>
      <c r="V13" s="284"/>
      <c r="W13" s="283"/>
      <c r="X13" s="283"/>
      <c r="Y13" s="283"/>
      <c r="Z13" s="217"/>
      <c r="AA13" s="162"/>
      <c r="AB13" s="162"/>
    </row>
    <row r="14" spans="1:28" s="161" customFormat="1" ht="15" customHeight="1" x14ac:dyDescent="0.35">
      <c r="A14" s="151">
        <f>MAX($A$10:A13)+1</f>
        <v>4</v>
      </c>
      <c r="B14" s="152"/>
      <c r="C14" s="152"/>
      <c r="D14" s="239" t="s">
        <v>93</v>
      </c>
      <c r="E14" s="152" t="s">
        <v>94</v>
      </c>
      <c r="F14" s="213" t="str">
        <f>"["&amp;A14&amp;"]"</f>
        <v>[4]</v>
      </c>
      <c r="G14" s="2150" t="str">
        <f>'S&amp;L BESS - Cost Assumptions'!$D$3</f>
        <v>Table C10</v>
      </c>
      <c r="H14" s="1345">
        <f>INDEX('S&amp;L BESS - Cost Assumptions'!$F$12:$J$65,MATCH($Z$14,'S&amp;L BESS - Cost Assumptions'!$D$12:$D$65,0),MATCH(Control!$H$11,'S&amp;L BESS - Cost Assumptions'!$F$7:$J$7,0))</f>
        <v>5.0000000000000001E-3</v>
      </c>
      <c r="I14" s="1345"/>
      <c r="J14" s="154"/>
      <c r="K14" s="328"/>
      <c r="L14" s="328"/>
      <c r="M14" s="328"/>
      <c r="N14" s="328"/>
      <c r="O14" s="328"/>
      <c r="P14" s="283"/>
      <c r="Q14" s="283"/>
      <c r="R14" s="283"/>
      <c r="S14" s="283"/>
      <c r="T14" s="283"/>
      <c r="U14" s="283"/>
      <c r="V14" s="284"/>
      <c r="W14" s="283"/>
      <c r="X14" s="283"/>
      <c r="Y14" s="283"/>
      <c r="Z14" s="219" t="str">
        <f>'S&amp;L BESS - Cost Assumptions'!$D$65</f>
        <v>Insurance</v>
      </c>
      <c r="AA14" s="162"/>
      <c r="AB14" s="162"/>
    </row>
    <row r="15" spans="1:28" s="161" customFormat="1" ht="15" customHeight="1" x14ac:dyDescent="0.35">
      <c r="A15" s="313">
        <f>MAX($A$10:A14)+1</f>
        <v>5</v>
      </c>
      <c r="B15" s="152"/>
      <c r="C15" s="152"/>
      <c r="D15" s="216" t="str">
        <f>'Working Cap and Tax Rates'!$D$8</f>
        <v>Working Capital During Operation</v>
      </c>
      <c r="E15" s="152" t="s">
        <v>94</v>
      </c>
      <c r="F15" s="213" t="str">
        <f>"["&amp;A15&amp;"]"</f>
        <v>[5]</v>
      </c>
      <c r="G15" s="313" t="str">
        <f>'Working Cap and Tax Rates'!$D$3</f>
        <v>Table C1</v>
      </c>
      <c r="H15" s="154">
        <f>_xlfn.XLOOKUP($D15,'Working Cap and Tax Rates'!$D$8:$D$12,'Working Cap and Tax Rates'!G$8:G$12)</f>
        <v>5.0478866624684409E-3</v>
      </c>
      <c r="I15" s="154"/>
      <c r="J15" s="154"/>
      <c r="K15" s="328"/>
      <c r="L15" s="328"/>
      <c r="M15" s="328"/>
      <c r="N15" s="328"/>
      <c r="O15" s="328"/>
      <c r="P15" s="283"/>
      <c r="Q15" s="283"/>
      <c r="R15" s="283"/>
      <c r="S15" s="283"/>
      <c r="T15" s="283"/>
      <c r="U15" s="283"/>
      <c r="V15" s="284"/>
      <c r="W15" s="283"/>
      <c r="X15" s="283"/>
      <c r="Y15" s="283"/>
      <c r="Z15" s="219"/>
      <c r="AA15" s="162"/>
      <c r="AB15" s="162"/>
    </row>
    <row r="16" spans="1:28" s="161" customFormat="1" ht="15" customHeight="1" x14ac:dyDescent="0.35">
      <c r="A16" s="313">
        <f>MAX($A$10:A15)+1</f>
        <v>6</v>
      </c>
      <c r="B16" s="152"/>
      <c r="C16" s="152"/>
      <c r="D16" s="216" t="str">
        <f>'Working Cap and Tax Rates'!$D$9</f>
        <v>Interest on Working Capital</v>
      </c>
      <c r="E16" s="152" t="s">
        <v>10</v>
      </c>
      <c r="F16" s="213" t="str">
        <f>"["&amp;A16&amp;"]"</f>
        <v>[6]</v>
      </c>
      <c r="G16" s="313" t="str">
        <f>'Working Cap and Tax Rates'!$D$3</f>
        <v>Table C1</v>
      </c>
      <c r="H16" s="154">
        <f>_xlfn.XLOOKUP($D16,'Working Cap and Tax Rates'!$D$8:$D$12,'Working Cap and Tax Rates'!G$8:G$12)</f>
        <v>5.8085308333333335E-2</v>
      </c>
      <c r="I16" s="154"/>
      <c r="J16" s="154"/>
      <c r="K16" s="328"/>
      <c r="L16" s="328"/>
      <c r="M16" s="328"/>
      <c r="N16" s="328"/>
      <c r="O16" s="328"/>
      <c r="P16" s="283"/>
      <c r="Q16" s="283"/>
      <c r="R16" s="283"/>
      <c r="S16" s="283"/>
      <c r="T16" s="283"/>
      <c r="U16" s="283"/>
      <c r="V16" s="284"/>
      <c r="W16" s="283"/>
      <c r="X16" s="283"/>
      <c r="Y16" s="283"/>
      <c r="Z16" s="219"/>
      <c r="AA16" s="162"/>
      <c r="AB16" s="162"/>
    </row>
    <row r="17" spans="1:29" s="161" customFormat="1" ht="6" customHeight="1" x14ac:dyDescent="0.35">
      <c r="A17" s="313"/>
      <c r="B17" s="152"/>
      <c r="C17" s="152"/>
      <c r="D17" s="216"/>
      <c r="E17" s="152"/>
      <c r="F17" s="213"/>
      <c r="G17" s="313"/>
      <c r="H17" s="154"/>
      <c r="I17" s="154"/>
      <c r="J17" s="154"/>
      <c r="K17" s="328"/>
      <c r="L17" s="328"/>
      <c r="M17" s="328"/>
      <c r="N17" s="328"/>
      <c r="O17" s="328"/>
      <c r="P17" s="283"/>
      <c r="Q17" s="283"/>
      <c r="R17" s="283"/>
      <c r="S17" s="283"/>
      <c r="T17" s="283"/>
      <c r="U17" s="283"/>
      <c r="V17" s="284"/>
      <c r="W17" s="283"/>
      <c r="X17" s="283"/>
      <c r="Y17" s="283"/>
      <c r="Z17" s="219"/>
      <c r="AA17" s="162"/>
      <c r="AB17" s="162"/>
    </row>
    <row r="18" spans="1:29" s="161" customFormat="1" ht="15" customHeight="1" x14ac:dyDescent="0.35">
      <c r="A18" s="151"/>
      <c r="B18" s="152"/>
      <c r="C18" s="152"/>
      <c r="D18" s="231" t="s">
        <v>214</v>
      </c>
      <c r="E18" s="152"/>
      <c r="F18" s="213"/>
      <c r="G18" s="313"/>
      <c r="H18" s="168"/>
      <c r="I18" s="168"/>
      <c r="J18" s="168"/>
      <c r="K18" s="371"/>
      <c r="L18" s="371"/>
      <c r="M18" s="371"/>
      <c r="N18" s="371"/>
      <c r="O18" s="371"/>
      <c r="P18" s="283"/>
      <c r="Q18" s="283"/>
      <c r="R18" s="283"/>
      <c r="V18" s="162"/>
      <c r="Z18" s="217"/>
      <c r="AA18" s="162"/>
      <c r="AB18" s="162"/>
    </row>
    <row r="19" spans="1:29" s="152" customFormat="1" ht="15" customHeight="1" x14ac:dyDescent="0.35">
      <c r="A19" s="313">
        <f>MAX($A$10:A18)+1</f>
        <v>7</v>
      </c>
      <c r="D19" s="226" t="s">
        <v>512</v>
      </c>
      <c r="E19" s="152" t="str">
        <f>"%"</f>
        <v>%</v>
      </c>
      <c r="F19" s="213" t="str">
        <f>"["&amp;A19&amp;"]"</f>
        <v>[7]</v>
      </c>
      <c r="G19" s="313" t="str">
        <f>'Cumulative Inflation'!$D$3</f>
        <v>Table B9</v>
      </c>
      <c r="H19" s="154">
        <f>_xlfn.XLOOKUP($H$7,'Cumulative Inflation'!$H$7:$J$7,'Cumulative Inflation'!$H$20:$J$20)-1</f>
        <v>8.9329218702034474E-2</v>
      </c>
      <c r="I19" s="154"/>
      <c r="J19" s="154"/>
      <c r="K19" s="328"/>
      <c r="L19" s="328"/>
      <c r="M19" s="328"/>
      <c r="N19" s="328"/>
      <c r="O19" s="328"/>
      <c r="P19" s="204"/>
      <c r="Q19" s="204"/>
      <c r="R19" s="204"/>
      <c r="V19" s="313"/>
      <c r="Z19" s="214"/>
      <c r="AA19" s="313"/>
      <c r="AB19" s="313"/>
    </row>
    <row r="20" spans="1:29" s="152" customFormat="1" ht="6" customHeight="1" x14ac:dyDescent="0.35">
      <c r="D20" s="155"/>
      <c r="E20" s="155"/>
      <c r="F20" s="155"/>
      <c r="G20" s="159"/>
      <c r="H20" s="159"/>
      <c r="I20" s="159"/>
      <c r="J20" s="159"/>
      <c r="K20" s="159"/>
      <c r="L20" s="159"/>
      <c r="M20" s="159"/>
      <c r="N20" s="159"/>
      <c r="O20" s="159"/>
      <c r="P20" s="155"/>
      <c r="Q20" s="155"/>
      <c r="R20" s="155"/>
      <c r="S20" s="155"/>
      <c r="T20" s="155"/>
      <c r="U20" s="155"/>
      <c r="V20" s="159"/>
      <c r="Z20" s="214"/>
      <c r="AA20" s="313"/>
      <c r="AB20" s="313"/>
    </row>
    <row r="21" spans="1:29" s="152" customFormat="1" ht="6" customHeight="1" x14ac:dyDescent="0.35">
      <c r="G21" s="313"/>
      <c r="H21" s="151"/>
      <c r="I21" s="313"/>
      <c r="J21" s="313"/>
      <c r="K21" s="292"/>
      <c r="L21" s="292"/>
      <c r="M21" s="292"/>
      <c r="N21" s="292"/>
      <c r="O21" s="292"/>
      <c r="V21" s="151"/>
      <c r="Z21" s="214"/>
      <c r="AA21" s="313"/>
      <c r="AB21" s="313"/>
    </row>
    <row r="22" spans="1:29" s="161" customFormat="1" ht="30" customHeight="1" x14ac:dyDescent="0.35">
      <c r="G22" s="2129"/>
      <c r="H22" s="1371" t="s">
        <v>537</v>
      </c>
      <c r="I22" s="1664"/>
      <c r="J22" s="302"/>
      <c r="K22" s="1598" t="s">
        <v>149</v>
      </c>
      <c r="L22" s="1598"/>
      <c r="M22" s="1598"/>
      <c r="N22" s="1598"/>
      <c r="O22" s="1598"/>
      <c r="P22" s="283"/>
      <c r="Q22" s="302"/>
      <c r="R22" s="1598" t="s">
        <v>152</v>
      </c>
      <c r="S22" s="1598"/>
      <c r="T22" s="1598"/>
      <c r="U22" s="1598"/>
      <c r="V22" s="1598"/>
      <c r="Z22" s="217"/>
      <c r="AA22" s="162"/>
      <c r="AB22" s="162"/>
    </row>
    <row r="23" spans="1:29" s="161" customFormat="1" ht="6" customHeight="1" x14ac:dyDescent="0.35">
      <c r="G23" s="2129"/>
      <c r="H23" s="364"/>
      <c r="I23" s="364"/>
      <c r="J23" s="302"/>
      <c r="K23" s="360"/>
      <c r="L23" s="360"/>
      <c r="M23" s="360"/>
      <c r="N23" s="360"/>
      <c r="O23" s="360"/>
      <c r="P23" s="283"/>
      <c r="Q23" s="302"/>
      <c r="R23" s="360"/>
      <c r="S23" s="360"/>
      <c r="T23" s="360"/>
      <c r="U23" s="360"/>
      <c r="V23" s="360"/>
      <c r="Z23" s="217"/>
      <c r="AA23" s="162"/>
      <c r="AB23" s="162"/>
    </row>
    <row r="24" spans="1:29" s="161" customFormat="1" ht="15" customHeight="1" x14ac:dyDescent="0.35">
      <c r="G24" s="2129"/>
      <c r="H24" s="234" t="str">
        <f>"["&amp;CHAR(H1)&amp;"]"</f>
        <v>[A]</v>
      </c>
      <c r="I24" s="234"/>
      <c r="J24" s="354"/>
      <c r="K24" s="234" t="str">
        <f>"["&amp;CHAR(K1)&amp;"]"</f>
        <v>[B]</v>
      </c>
      <c r="L24" s="234" t="str">
        <f>"["&amp;CHAR(L1)&amp;"]"</f>
        <v>[C]</v>
      </c>
      <c r="M24" s="234" t="str">
        <f>"["&amp;CHAR(M1)&amp;"]"</f>
        <v>[D]</v>
      </c>
      <c r="N24" s="234" t="str">
        <f>"["&amp;CHAR(N1)&amp;"]"</f>
        <v>[E]</v>
      </c>
      <c r="O24" s="234" t="str">
        <f>"["&amp;CHAR(O1)&amp;"]"</f>
        <v>[F]</v>
      </c>
      <c r="P24" s="283"/>
      <c r="Q24" s="354"/>
      <c r="R24" s="166" t="str">
        <f>"["&amp;CHAR(R1)&amp;"]"</f>
        <v>[G]</v>
      </c>
      <c r="S24" s="166" t="str">
        <f>"["&amp;CHAR(S1)&amp;"]"</f>
        <v>[H]</v>
      </c>
      <c r="T24" s="166" t="str">
        <f>"["&amp;CHAR(T1)&amp;"]"</f>
        <v>[I]</v>
      </c>
      <c r="U24" s="166" t="str">
        <f>"["&amp;CHAR(U1)&amp;"]"</f>
        <v>[J]</v>
      </c>
      <c r="V24" s="166" t="str">
        <f>"["&amp;CHAR(V1)&amp;"]"</f>
        <v>[K]</v>
      </c>
      <c r="Z24" s="217"/>
      <c r="AA24" s="162"/>
      <c r="AB24" s="162"/>
    </row>
    <row r="25" spans="1:29" s="161" customFormat="1" ht="15" customHeight="1" x14ac:dyDescent="0.35">
      <c r="G25" s="2129"/>
      <c r="H25" s="234" t="s">
        <v>10</v>
      </c>
      <c r="I25" s="234"/>
      <c r="J25" s="354"/>
      <c r="K25" s="166" t="str">
        <f>YEAR($H$10)&amp;"$"</f>
        <v>2025$</v>
      </c>
      <c r="L25" s="166" t="str">
        <f>YEAR($H$10)&amp;"$"</f>
        <v>2025$</v>
      </c>
      <c r="M25" s="166" t="str">
        <f>YEAR($H$10)&amp;"$"</f>
        <v>2025$</v>
      </c>
      <c r="N25" s="166" t="str">
        <f>YEAR($H$10)&amp;"$"</f>
        <v>2025$</v>
      </c>
      <c r="O25" s="166" t="str">
        <f>YEAR($H$10)&amp;"$"</f>
        <v>2025$</v>
      </c>
      <c r="P25" s="283"/>
      <c r="Q25" s="354"/>
      <c r="R25" s="174" t="str">
        <f>YEAR($H$11)&amp;"$"</f>
        <v>2028$</v>
      </c>
      <c r="S25" s="174" t="str">
        <f>YEAR($H$11)&amp;"$"</f>
        <v>2028$</v>
      </c>
      <c r="T25" s="174" t="str">
        <f>YEAR($H$11)&amp;"$"</f>
        <v>2028$</v>
      </c>
      <c r="U25" s="174" t="str">
        <f>YEAR($H$11)&amp;"$"</f>
        <v>2028$</v>
      </c>
      <c r="V25" s="174" t="str">
        <f>YEAR($H$11)&amp;"$"</f>
        <v>2028$</v>
      </c>
      <c r="Z25" s="217"/>
      <c r="AA25" s="162"/>
      <c r="AB25" s="162"/>
    </row>
    <row r="26" spans="1:29" s="161" customFormat="1" ht="15" customHeight="1" x14ac:dyDescent="0.35">
      <c r="G26" s="2129"/>
      <c r="H26" s="166" t="str">
        <f>F19</f>
        <v>[7]</v>
      </c>
      <c r="I26" s="234"/>
      <c r="J26" s="354"/>
      <c r="K26" s="166"/>
      <c r="L26" s="166"/>
      <c r="M26" s="166"/>
      <c r="N26" s="166"/>
      <c r="O26" s="166"/>
      <c r="P26" s="283"/>
      <c r="Q26" s="354"/>
      <c r="R26" s="166" t="s">
        <v>39</v>
      </c>
      <c r="S26" s="166" t="s">
        <v>39</v>
      </c>
      <c r="T26" s="166" t="s">
        <v>39</v>
      </c>
      <c r="U26" s="166" t="s">
        <v>39</v>
      </c>
      <c r="V26" s="166" t="s">
        <v>39</v>
      </c>
      <c r="Z26" s="217"/>
      <c r="AA26" s="162"/>
      <c r="AB26" s="162"/>
    </row>
    <row r="27" spans="1:29" s="152" customFormat="1" ht="6" customHeight="1" x14ac:dyDescent="0.35">
      <c r="D27" s="155"/>
      <c r="E27" s="155"/>
      <c r="F27" s="155"/>
      <c r="G27" s="159"/>
      <c r="H27" s="155"/>
      <c r="I27" s="204"/>
      <c r="J27" s="204"/>
      <c r="K27" s="159"/>
      <c r="L27" s="159"/>
      <c r="M27" s="159"/>
      <c r="N27" s="159"/>
      <c r="O27" s="159"/>
      <c r="P27" s="204"/>
      <c r="Q27" s="204"/>
      <c r="R27" s="159"/>
      <c r="S27" s="155"/>
      <c r="T27" s="155"/>
      <c r="U27" s="155"/>
      <c r="V27" s="159"/>
      <c r="Z27" s="214"/>
      <c r="AA27" s="313"/>
      <c r="AB27" s="313"/>
    </row>
    <row r="28" spans="1:29" s="152" customFormat="1" ht="6" customHeight="1" x14ac:dyDescent="0.35">
      <c r="G28" s="313"/>
      <c r="J28" s="204"/>
      <c r="K28" s="151"/>
      <c r="L28" s="292"/>
      <c r="M28" s="292"/>
      <c r="N28" s="292"/>
      <c r="O28" s="292"/>
      <c r="Q28" s="204"/>
      <c r="R28" s="292"/>
      <c r="V28" s="151"/>
      <c r="Z28" s="214"/>
      <c r="AA28" s="313"/>
      <c r="AB28" s="313"/>
    </row>
    <row r="29" spans="1:29" s="152" customFormat="1" ht="15" customHeight="1" x14ac:dyDescent="0.35">
      <c r="A29" s="292"/>
      <c r="D29" s="2201" t="s">
        <v>298</v>
      </c>
      <c r="F29" s="213"/>
      <c r="G29" s="313"/>
      <c r="K29" s="220" t="s">
        <v>288</v>
      </c>
      <c r="L29" s="220" t="s">
        <v>289</v>
      </c>
      <c r="M29" s="220" t="s">
        <v>290</v>
      </c>
      <c r="N29" s="220" t="s">
        <v>291</v>
      </c>
      <c r="O29" s="220" t="s">
        <v>299</v>
      </c>
      <c r="P29" s="204"/>
      <c r="Q29" s="204"/>
      <c r="R29" s="220" t="s">
        <v>288</v>
      </c>
      <c r="S29" s="220" t="s">
        <v>289</v>
      </c>
      <c r="T29" s="220" t="s">
        <v>290</v>
      </c>
      <c r="U29" s="220" t="s">
        <v>291</v>
      </c>
      <c r="V29" s="220" t="s">
        <v>299</v>
      </c>
      <c r="X29" s="79"/>
      <c r="Y29" s="79"/>
      <c r="Z29" s="214"/>
      <c r="AA29" s="313"/>
      <c r="AB29" s="313"/>
      <c r="AC29" s="79"/>
    </row>
    <row r="30" spans="1:29" s="152" customFormat="1" ht="15" customHeight="1" x14ac:dyDescent="0.35">
      <c r="A30" s="292"/>
      <c r="D30" s="2201"/>
      <c r="F30" s="213"/>
      <c r="G30" s="313"/>
      <c r="J30" s="204"/>
      <c r="K30" s="248">
        <v>1</v>
      </c>
      <c r="L30" s="248">
        <v>2</v>
      </c>
      <c r="M30" s="248">
        <v>3</v>
      </c>
      <c r="N30" s="248">
        <v>4</v>
      </c>
      <c r="O30" s="248">
        <v>5</v>
      </c>
      <c r="P30" s="204"/>
      <c r="Q30" s="204"/>
      <c r="R30" s="248">
        <v>1</v>
      </c>
      <c r="S30" s="248">
        <v>2</v>
      </c>
      <c r="T30" s="248">
        <v>3</v>
      </c>
      <c r="U30" s="248">
        <v>4</v>
      </c>
      <c r="V30" s="248">
        <v>5</v>
      </c>
      <c r="X30" s="79"/>
      <c r="Y30" s="79"/>
      <c r="Z30" s="214"/>
      <c r="AA30" s="313"/>
      <c r="AB30" s="313"/>
      <c r="AC30" s="79"/>
    </row>
    <row r="31" spans="1:29" s="152" customFormat="1" ht="6" customHeight="1" x14ac:dyDescent="0.35">
      <c r="A31" s="313"/>
      <c r="D31" s="367"/>
      <c r="E31" s="263"/>
      <c r="F31" s="264"/>
      <c r="G31" s="265"/>
      <c r="H31" s="263"/>
      <c r="I31" s="260"/>
      <c r="J31" s="263"/>
      <c r="K31" s="368"/>
      <c r="L31" s="368"/>
      <c r="M31" s="368"/>
      <c r="N31" s="368"/>
      <c r="O31" s="368"/>
      <c r="P31" s="263"/>
      <c r="Q31" s="263"/>
      <c r="R31" s="368"/>
      <c r="S31" s="368"/>
      <c r="T31" s="368"/>
      <c r="U31" s="368"/>
      <c r="V31" s="368"/>
      <c r="X31" s="79"/>
      <c r="Y31" s="79"/>
      <c r="Z31" s="214"/>
      <c r="AA31" s="313"/>
      <c r="AB31" s="313"/>
      <c r="AC31" s="79"/>
    </row>
    <row r="32" spans="1:29" s="152" customFormat="1" ht="6" customHeight="1" x14ac:dyDescent="0.35">
      <c r="A32" s="313"/>
      <c r="D32" s="369"/>
      <c r="E32" s="268"/>
      <c r="F32" s="269"/>
      <c r="G32" s="270"/>
      <c r="H32" s="268"/>
      <c r="I32" s="260"/>
      <c r="J32" s="268"/>
      <c r="K32" s="370"/>
      <c r="L32" s="370"/>
      <c r="M32" s="370"/>
      <c r="N32" s="370"/>
      <c r="O32" s="370"/>
      <c r="P32" s="268"/>
      <c r="Q32" s="268"/>
      <c r="R32" s="370"/>
      <c r="S32" s="370"/>
      <c r="T32" s="370"/>
      <c r="U32" s="370"/>
      <c r="V32" s="370"/>
      <c r="X32" s="79"/>
      <c r="Y32" s="79"/>
      <c r="Z32" s="214"/>
      <c r="AA32" s="313"/>
      <c r="AB32" s="313"/>
      <c r="AC32" s="79"/>
    </row>
    <row r="33" spans="1:29" s="161" customFormat="1" ht="15" customHeight="1" x14ac:dyDescent="0.35">
      <c r="D33" s="162" t="s">
        <v>208</v>
      </c>
      <c r="G33" s="2129"/>
      <c r="H33" s="162"/>
      <c r="I33" s="162"/>
      <c r="J33" s="162"/>
      <c r="L33" s="162"/>
      <c r="O33" s="162"/>
      <c r="P33" s="283"/>
      <c r="Q33" s="283"/>
      <c r="R33" s="283"/>
      <c r="S33" s="283"/>
      <c r="T33" s="283"/>
      <c r="U33" s="283"/>
      <c r="V33" s="283"/>
      <c r="W33" s="283"/>
      <c r="X33" s="283"/>
      <c r="Y33" s="283"/>
      <c r="Z33" s="217" t="s">
        <v>174</v>
      </c>
      <c r="AA33" s="162"/>
      <c r="AB33" s="162"/>
    </row>
    <row r="34" spans="1:29" s="161" customFormat="1" ht="15" customHeight="1" x14ac:dyDescent="0.35">
      <c r="A34" s="313">
        <f>MAX($A$10:A33)+1</f>
        <v>8</v>
      </c>
      <c r="B34" s="152"/>
      <c r="C34" s="152"/>
      <c r="D34" s="215" t="str">
        <f>Control!$D$42</f>
        <v>Net Summer Capacity</v>
      </c>
      <c r="E34" s="152" t="s">
        <v>4</v>
      </c>
      <c r="F34" s="213" t="str">
        <f>"["&amp;A34&amp;"]"</f>
        <v>[8]</v>
      </c>
      <c r="G34" s="2150" t="str">
        <f>'S&amp;L BESS - Cost Assumptions'!$D$3</f>
        <v>Table C10</v>
      </c>
      <c r="J34" s="169"/>
      <c r="K34" s="169">
        <f>INDEX('S&amp;L BESS - Cost Assumptions'!$F$12:$J$65,MATCH($Z$34,'S&amp;L BESS - Cost Assumptions'!$D$12:$D$65,0),MATCH(K$29,'S&amp;L BESS - Cost Assumptions'!$F$7:$J$7,0))</f>
        <v>200</v>
      </c>
      <c r="L34" s="169">
        <f>INDEX('S&amp;L BESS - Cost Assumptions'!$F$12:$J$65,MATCH($Z$34,'S&amp;L BESS - Cost Assumptions'!$D$12:$D$65,0),MATCH(L$29,'S&amp;L BESS - Cost Assumptions'!$F$7:$J$7,0))</f>
        <v>200</v>
      </c>
      <c r="M34" s="169">
        <f>INDEX('S&amp;L BESS - Cost Assumptions'!$F$12:$J$65,MATCH($Z$34,'S&amp;L BESS - Cost Assumptions'!$D$12:$D$65,0),MATCH(M$29,'S&amp;L BESS - Cost Assumptions'!$F$7:$J$7,0))</f>
        <v>200</v>
      </c>
      <c r="N34" s="169">
        <f>INDEX('S&amp;L BESS - Cost Assumptions'!$F$12:$J$65,MATCH($Z$34,'S&amp;L BESS - Cost Assumptions'!$D$12:$D$65,0),MATCH(N$29,'S&amp;L BESS - Cost Assumptions'!$F$7:$J$7,0))</f>
        <v>200</v>
      </c>
      <c r="O34" s="169">
        <f>INDEX('S&amp;L BESS - Cost Assumptions'!$F$12:$J$65,MATCH($Z$34,'S&amp;L BESS - Cost Assumptions'!$D$12:$D$65,0),MATCH(O$29,'S&amp;L BESS - Cost Assumptions'!$F$7:$J$7,0))</f>
        <v>200</v>
      </c>
      <c r="P34" s="283"/>
      <c r="Q34" s="299"/>
      <c r="R34" s="169">
        <f>INDEX('S&amp;L BESS - Cost Assumptions'!$F$12:$J$65,MATCH($Z$34,'S&amp;L BESS - Cost Assumptions'!$D$12:$D$65,0),MATCH(R$29,'S&amp;L BESS - Cost Assumptions'!$F$7:$J$7,0))</f>
        <v>200</v>
      </c>
      <c r="S34" s="169">
        <f>INDEX('S&amp;L BESS - Cost Assumptions'!$F$12:$J$65,MATCH($Z$34,'S&amp;L BESS - Cost Assumptions'!$D$12:$D$65,0),MATCH(S$29,'S&amp;L BESS - Cost Assumptions'!$F$7:$J$7,0))</f>
        <v>200</v>
      </c>
      <c r="T34" s="169">
        <f>INDEX('S&amp;L BESS - Cost Assumptions'!$F$12:$J$65,MATCH($Z$34,'S&amp;L BESS - Cost Assumptions'!$D$12:$D$65,0),MATCH(T$29,'S&amp;L BESS - Cost Assumptions'!$F$7:$J$7,0))</f>
        <v>200</v>
      </c>
      <c r="U34" s="169">
        <f>INDEX('S&amp;L BESS - Cost Assumptions'!$F$12:$J$65,MATCH($Z$34,'S&amp;L BESS - Cost Assumptions'!$D$12:$D$65,0),MATCH(U$29,'S&amp;L BESS - Cost Assumptions'!$F$7:$J$7,0))</f>
        <v>200</v>
      </c>
      <c r="V34" s="169">
        <f>INDEX('S&amp;L BESS - Cost Assumptions'!$F$12:$J$65,MATCH($Z$34,'S&amp;L BESS - Cost Assumptions'!$D$12:$D$65,0),MATCH(V$29,'S&amp;L BESS - Cost Assumptions'!$F$7:$J$7,0))</f>
        <v>200</v>
      </c>
      <c r="W34" s="283"/>
      <c r="X34" s="283"/>
      <c r="Y34" s="283"/>
      <c r="Z34" s="219" t="str">
        <f>'S&amp;L BESS - Cost Assumptions'!$D$13</f>
        <v>Rated Output Power (POI Rating)</v>
      </c>
      <c r="AA34" s="162"/>
      <c r="AB34" s="162"/>
    </row>
    <row r="35" spans="1:29" s="152" customFormat="1" ht="6" customHeight="1" x14ac:dyDescent="0.35">
      <c r="A35" s="292"/>
      <c r="D35" s="159"/>
      <c r="E35" s="155"/>
      <c r="F35" s="155"/>
      <c r="G35" s="159"/>
      <c r="J35" s="204"/>
      <c r="K35" s="155"/>
      <c r="L35" s="155"/>
      <c r="M35" s="155"/>
      <c r="N35" s="155"/>
      <c r="O35" s="155"/>
      <c r="P35" s="204"/>
      <c r="Q35" s="204"/>
      <c r="R35" s="155"/>
      <c r="S35" s="155"/>
      <c r="T35" s="155"/>
      <c r="U35" s="155"/>
      <c r="V35" s="155"/>
      <c r="X35" s="79"/>
      <c r="Y35" s="79"/>
      <c r="Z35" s="214"/>
      <c r="AA35" s="313"/>
      <c r="AB35" s="313"/>
      <c r="AC35" s="79"/>
    </row>
    <row r="36" spans="1:29" s="152" customFormat="1" ht="6" customHeight="1" x14ac:dyDescent="0.35">
      <c r="D36" s="292"/>
      <c r="G36" s="313"/>
      <c r="H36" s="363"/>
      <c r="I36" s="204"/>
      <c r="J36" s="204"/>
      <c r="P36" s="204"/>
      <c r="Q36" s="204"/>
      <c r="X36" s="79"/>
      <c r="Y36" s="79"/>
      <c r="Z36" s="214"/>
      <c r="AA36" s="313"/>
      <c r="AB36" s="313"/>
      <c r="AC36" s="79"/>
    </row>
    <row r="37" spans="1:29" s="152" customFormat="1" ht="15" customHeight="1" x14ac:dyDescent="0.35">
      <c r="A37" s="313">
        <f>MAX($A$10:A36)+1</f>
        <v>9</v>
      </c>
      <c r="D37" s="1779" t="s">
        <v>151</v>
      </c>
      <c r="E37" s="313" t="str">
        <f>"Nominal$"</f>
        <v>Nominal$</v>
      </c>
      <c r="F37" s="312" t="str">
        <f>"["&amp;A37&amp;"]"</f>
        <v>[9]</v>
      </c>
      <c r="G37" s="313" t="str">
        <f>'BESS Capital Costs'!$D$3</f>
        <v>Table B8</v>
      </c>
      <c r="H37" s="313"/>
      <c r="I37" s="313"/>
      <c r="J37" s="246"/>
      <c r="K37" s="153" cm="1">
        <f t="array" ref="K37">INDEX('BESS Capital Costs'!$K$8:$O$62, MATCH($D37, 'BESS Capital Costs'!$D$8:$D$62, 0),K30)</f>
        <v>346120642.55853856</v>
      </c>
      <c r="L37" s="153" cm="1">
        <f t="array" ref="L37">INDEX('BESS Capital Costs'!$K$8:$O$62, MATCH($D37, 'BESS Capital Costs'!$D$8:$D$62, 0),L30)</f>
        <v>331321634.99937731</v>
      </c>
      <c r="M37" s="153" cm="1">
        <f t="array" ref="M37">INDEX('BESS Capital Costs'!$K$8:$O$62, MATCH($D37, 'BESS Capital Costs'!$D$8:$D$62, 0),M30)</f>
        <v>330765032.56991619</v>
      </c>
      <c r="N37" s="153" cm="1">
        <f t="array" ref="N37">INDEX('BESS Capital Costs'!$K$8:$O$62, MATCH($D37, 'BESS Capital Costs'!$D$8:$D$62, 0),N30)</f>
        <v>337113089.33328402</v>
      </c>
      <c r="O37" s="153" cm="1">
        <f t="array" ref="O37">INDEX('BESS Capital Costs'!$K$8:$O$62, MATCH($D37, 'BESS Capital Costs'!$D$8:$D$62, 0),O30)</f>
        <v>373875957.32293868</v>
      </c>
      <c r="P37" s="313"/>
      <c r="Q37" s="246"/>
      <c r="R37" s="153" cm="1">
        <f t="array" ref="R37">INDEX('BESS Capital Costs'!$R$8:$V$62, MATCH($D37, 'BESS Capital Costs'!$D$8:$D$62, 0),R$30)</f>
        <v>366495256.00479627</v>
      </c>
      <c r="S37" s="153" cm="1">
        <f t="array" ref="S37">INDEX('BESS Capital Costs'!$R$8:$V$62, MATCH($D37, 'BESS Capital Costs'!$D$8:$D$62, 0),S$30)</f>
        <v>350691638.88649344</v>
      </c>
      <c r="T37" s="153" cm="1">
        <f t="array" ref="T37">INDEX('BESS Capital Costs'!$R$8:$V$62, MATCH($D37, 'BESS Capital Costs'!$D$8:$D$62, 0),T$30)</f>
        <v>350097252.29353058</v>
      </c>
      <c r="U37" s="153" cm="1">
        <f t="array" ref="U37">INDEX('BESS Capital Costs'!$R$8:$V$62, MATCH($D37, 'BESS Capital Costs'!$D$8:$D$62, 0),U$30)</f>
        <v>356876237.85269493</v>
      </c>
      <c r="V37" s="153" cm="1">
        <f t="array" ref="V37">INDEX('BESS Capital Costs'!$R$8:$V$62, MATCH($D37, 'BESS Capital Costs'!$D$8:$D$62, 0),V$30)</f>
        <v>395948722.7861616</v>
      </c>
      <c r="Z37" s="214"/>
    </row>
    <row r="38" spans="1:29" s="152" customFormat="1" ht="6" customHeight="1" x14ac:dyDescent="0.35">
      <c r="D38" s="313"/>
      <c r="G38" s="313"/>
      <c r="J38" s="204"/>
      <c r="K38" s="313"/>
      <c r="L38" s="313"/>
      <c r="M38" s="313"/>
      <c r="N38" s="313"/>
      <c r="O38" s="313"/>
      <c r="Q38" s="204"/>
      <c r="R38" s="292"/>
      <c r="V38" s="151"/>
      <c r="Z38" s="214"/>
    </row>
    <row r="39" spans="1:29" s="152" customFormat="1" ht="15" customHeight="1" x14ac:dyDescent="0.35">
      <c r="D39" s="162" t="s">
        <v>157</v>
      </c>
      <c r="G39" s="313"/>
      <c r="J39" s="204"/>
      <c r="K39" s="313"/>
      <c r="L39" s="313"/>
      <c r="M39" s="313"/>
      <c r="N39" s="313"/>
      <c r="O39" s="313"/>
      <c r="Q39" s="204"/>
      <c r="R39" s="292"/>
      <c r="V39" s="151"/>
      <c r="Z39" s="214"/>
    </row>
    <row r="40" spans="1:29" s="152" customFormat="1" ht="15" customHeight="1" x14ac:dyDescent="0.35">
      <c r="A40" s="151">
        <f>MAX($A$10:A39)+1</f>
        <v>10</v>
      </c>
      <c r="D40" s="216" t="str">
        <f>'BESS OM Costs'!$Z40</f>
        <v>O&amp;M Contract Fixed Payments</v>
      </c>
      <c r="E40" s="152" t="str">
        <f>"$/year"</f>
        <v>$/year</v>
      </c>
      <c r="F40" s="213" t="str">
        <f t="shared" ref="F40:F46" si="0">"["&amp;A40&amp;"]"</f>
        <v>[10]</v>
      </c>
      <c r="G40" s="272" t="str">
        <f>'S&amp;L BESS - O&amp;M Costs'!$D$3</f>
        <v>Table C12</v>
      </c>
      <c r="H40" s="154">
        <f>$H$19</f>
        <v>8.9329218702034474E-2</v>
      </c>
      <c r="I40" s="154"/>
      <c r="J40" s="357"/>
      <c r="K40" s="153">
        <f>INDEX('S&amp;L BESS - O&amp;M Costs'!$F$13:$J$24,MATCH($Z40,'S&amp;L BESS - O&amp;M Costs'!$D$13:$D$24,0),MATCH(K$29,'S&amp;L BESS - O&amp;M Costs'!$F$8:$J$8,0))</f>
        <v>3493000</v>
      </c>
      <c r="L40" s="153">
        <f>INDEX('S&amp;L BESS - O&amp;M Costs'!$F$13:$J$24,MATCH($Z40,'S&amp;L BESS - O&amp;M Costs'!$D$13:$D$24,0),MATCH(L$29,'S&amp;L BESS - O&amp;M Costs'!$F$8:$J$8,0))</f>
        <v>3493000</v>
      </c>
      <c r="M40" s="153">
        <f>INDEX('S&amp;L BESS - O&amp;M Costs'!$F$13:$J$24,MATCH($Z40,'S&amp;L BESS - O&amp;M Costs'!$D$13:$D$24,0),MATCH(M$29,'S&amp;L BESS - O&amp;M Costs'!$F$8:$J$8,0))</f>
        <v>3493000</v>
      </c>
      <c r="N40" s="153">
        <f>INDEX('S&amp;L BESS - O&amp;M Costs'!$F$13:$J$24,MATCH($Z40,'S&amp;L BESS - O&amp;M Costs'!$D$13:$D$24,0),MATCH(N$29,'S&amp;L BESS - O&amp;M Costs'!$F$8:$J$8,0))</f>
        <v>3493000</v>
      </c>
      <c r="O40" s="153">
        <f>INDEX('S&amp;L BESS - O&amp;M Costs'!$F$13:$J$24,MATCH($Z40,'S&amp;L BESS - O&amp;M Costs'!$D$13:$D$24,0),MATCH(O$29,'S&amp;L BESS - O&amp;M Costs'!$F$8:$J$8,0))</f>
        <v>3493000</v>
      </c>
      <c r="Q40" s="357"/>
      <c r="R40" s="153">
        <f t="shared" ref="R40:V43" si="1">K40*(1+$H40)</f>
        <v>3805026.9609262063</v>
      </c>
      <c r="S40" s="156">
        <f t="shared" si="1"/>
        <v>3805026.9609262063</v>
      </c>
      <c r="T40" s="156">
        <f t="shared" si="1"/>
        <v>3805026.9609262063</v>
      </c>
      <c r="U40" s="156">
        <f t="shared" si="1"/>
        <v>3805026.9609262063</v>
      </c>
      <c r="V40" s="156">
        <f t="shared" si="1"/>
        <v>3805026.9609262063</v>
      </c>
      <c r="Z40" s="240" t="str">
        <f>'S&amp;L BESS - O&amp;M Costs'!$D13</f>
        <v>O&amp;M Contract Fixed Payments</v>
      </c>
    </row>
    <row r="41" spans="1:29" s="152" customFormat="1" ht="15" customHeight="1" x14ac:dyDescent="0.35">
      <c r="A41" s="151">
        <f>MAX($A$10:A40)+1</f>
        <v>11</v>
      </c>
      <c r="D41" s="216" t="str">
        <f>'BESS OM Costs'!$Z41</f>
        <v>BOP and Substation O&amp;M</v>
      </c>
      <c r="E41" s="152" t="str">
        <f t="shared" ref="E41:E46" si="2">"$/year"</f>
        <v>$/year</v>
      </c>
      <c r="F41" s="213" t="str">
        <f t="shared" si="0"/>
        <v>[11]</v>
      </c>
      <c r="G41" s="272" t="str">
        <f>'S&amp;L BESS - O&amp;M Costs'!$D$3</f>
        <v>Table C12</v>
      </c>
      <c r="H41" s="154">
        <f>$H$19</f>
        <v>8.9329218702034474E-2</v>
      </c>
      <c r="I41" s="154"/>
      <c r="J41" s="357"/>
      <c r="K41" s="153">
        <f>INDEX('S&amp;L BESS - O&amp;M Costs'!$F$13:$J$24,MATCH($Z41,'S&amp;L BESS - O&amp;M Costs'!$D$13:$D$24,0),MATCH(K$29,'S&amp;L BESS - O&amp;M Costs'!$F$8:$J$8,0))</f>
        <v>195000</v>
      </c>
      <c r="L41" s="153">
        <f>INDEX('S&amp;L BESS - O&amp;M Costs'!$F$13:$J$24,MATCH($Z41,'S&amp;L BESS - O&amp;M Costs'!$D$13:$D$24,0),MATCH(L$29,'S&amp;L BESS - O&amp;M Costs'!$F$8:$J$8,0))</f>
        <v>207500</v>
      </c>
      <c r="M41" s="153">
        <f>INDEX('S&amp;L BESS - O&amp;M Costs'!$F$13:$J$24,MATCH($Z41,'S&amp;L BESS - O&amp;M Costs'!$D$13:$D$24,0),MATCH(M$29,'S&amp;L BESS - O&amp;M Costs'!$F$8:$J$8,0))</f>
        <v>142100</v>
      </c>
      <c r="N41" s="153">
        <f>INDEX('S&amp;L BESS - O&amp;M Costs'!$F$13:$J$24,MATCH($Z41,'S&amp;L BESS - O&amp;M Costs'!$D$13:$D$24,0),MATCH(N$29,'S&amp;L BESS - O&amp;M Costs'!$F$8:$J$8,0))</f>
        <v>169900</v>
      </c>
      <c r="O41" s="153">
        <f>INDEX('S&amp;L BESS - O&amp;M Costs'!$F$13:$J$24,MATCH($Z41,'S&amp;L BESS - O&amp;M Costs'!$D$13:$D$24,0),MATCH(O$29,'S&amp;L BESS - O&amp;M Costs'!$F$8:$J$8,0))</f>
        <v>187700</v>
      </c>
      <c r="Q41" s="357"/>
      <c r="R41" s="156">
        <f t="shared" si="1"/>
        <v>212419.19764689673</v>
      </c>
      <c r="S41" s="156">
        <f t="shared" si="1"/>
        <v>226035.81288067217</v>
      </c>
      <c r="T41" s="156">
        <f t="shared" si="1"/>
        <v>154793.68197755908</v>
      </c>
      <c r="U41" s="156">
        <f t="shared" si="1"/>
        <v>185077.03425747567</v>
      </c>
      <c r="V41" s="156">
        <f t="shared" si="1"/>
        <v>204467.09435037186</v>
      </c>
      <c r="Z41" s="240" t="str">
        <f>'S&amp;L BESS - O&amp;M Costs'!$D14</f>
        <v>BOP and Substation O&amp;M</v>
      </c>
    </row>
    <row r="42" spans="1:29" s="152" customFormat="1" ht="15" customHeight="1" x14ac:dyDescent="0.35">
      <c r="A42" s="151">
        <f>MAX($A$10:A41)+1</f>
        <v>12</v>
      </c>
      <c r="D42" s="216" t="str">
        <f>'BESS OM Costs'!$Z42</f>
        <v>Station Load / Aux Load</v>
      </c>
      <c r="E42" s="152" t="str">
        <f t="shared" si="2"/>
        <v>$/year</v>
      </c>
      <c r="F42" s="213" t="str">
        <f t="shared" si="0"/>
        <v>[12]</v>
      </c>
      <c r="G42" s="272" t="str">
        <f>'S&amp;L BESS - O&amp;M Costs'!$D$3</f>
        <v>Table C12</v>
      </c>
      <c r="H42" s="154">
        <f>$H$19</f>
        <v>8.9329218702034474E-2</v>
      </c>
      <c r="I42" s="154"/>
      <c r="J42" s="357"/>
      <c r="K42" s="153">
        <f>INDEX('S&amp;L BESS - O&amp;M Costs'!$F$13:$J$24,MATCH($Z42,'S&amp;L BESS - O&amp;M Costs'!$D$13:$D$24,0),MATCH(K$29,'S&amp;L BESS - O&amp;M Costs'!$F$8:$J$8,0))</f>
        <v>619000</v>
      </c>
      <c r="L42" s="153">
        <f>INDEX('S&amp;L BESS - O&amp;M Costs'!$F$13:$J$24,MATCH($Z42,'S&amp;L BESS - O&amp;M Costs'!$D$13:$D$24,0),MATCH(L$29,'S&amp;L BESS - O&amp;M Costs'!$F$8:$J$8,0))</f>
        <v>658600</v>
      </c>
      <c r="M42" s="153">
        <f>INDEX('S&amp;L BESS - O&amp;M Costs'!$F$13:$J$24,MATCH($Z42,'S&amp;L BESS - O&amp;M Costs'!$D$13:$D$24,0),MATCH(M$29,'S&amp;L BESS - O&amp;M Costs'!$F$8:$J$8,0))</f>
        <v>451000</v>
      </c>
      <c r="N42" s="153">
        <f>INDEX('S&amp;L BESS - O&amp;M Costs'!$F$13:$J$24,MATCH($Z42,'S&amp;L BESS - O&amp;M Costs'!$D$13:$D$24,0),MATCH(N$29,'S&amp;L BESS - O&amp;M Costs'!$F$8:$J$8,0))</f>
        <v>539300</v>
      </c>
      <c r="O42" s="153">
        <f>INDEX('S&amp;L BESS - O&amp;M Costs'!$F$13:$J$24,MATCH($Z42,'S&amp;L BESS - O&amp;M Costs'!$D$13:$D$24,0),MATCH(O$29,'S&amp;L BESS - O&amp;M Costs'!$F$8:$J$8,0))</f>
        <v>595900</v>
      </c>
      <c r="Q42" s="357"/>
      <c r="R42" s="156">
        <f t="shared" si="1"/>
        <v>674294.78637655929</v>
      </c>
      <c r="S42" s="156">
        <f t="shared" si="1"/>
        <v>717432.2234371599</v>
      </c>
      <c r="T42" s="156">
        <f t="shared" si="1"/>
        <v>491287.47763461753</v>
      </c>
      <c r="U42" s="156">
        <f t="shared" si="1"/>
        <v>587475.24764600722</v>
      </c>
      <c r="V42" s="156">
        <f t="shared" si="1"/>
        <v>649131.28142454231</v>
      </c>
      <c r="Z42" s="240" t="str">
        <f>'S&amp;L BESS - O&amp;M Costs'!$D15</f>
        <v>Station Load / Aux Load</v>
      </c>
    </row>
    <row r="43" spans="1:29" s="152" customFormat="1" ht="15" customHeight="1" x14ac:dyDescent="0.35">
      <c r="A43" s="313">
        <f>MAX($A$10:A42)+1</f>
        <v>13</v>
      </c>
      <c r="D43" s="216" t="str">
        <f>'BESS OM Costs'!$Z43</f>
        <v>Miscellaneous Owner Costs</v>
      </c>
      <c r="E43" s="152" t="str">
        <f t="shared" si="2"/>
        <v>$/year</v>
      </c>
      <c r="F43" s="213" t="str">
        <f t="shared" si="0"/>
        <v>[13]</v>
      </c>
      <c r="G43" s="272" t="str">
        <f>'S&amp;L BESS - O&amp;M Costs'!$D$3</f>
        <v>Table C12</v>
      </c>
      <c r="H43" s="154">
        <f>$H$19</f>
        <v>8.9329218702034474E-2</v>
      </c>
      <c r="I43" s="154"/>
      <c r="J43" s="357"/>
      <c r="K43" s="153">
        <f>INDEX('S&amp;L BESS - O&amp;M Costs'!$F$13:$J$24,MATCH($Z43,'S&amp;L BESS - O&amp;M Costs'!$D$13:$D$24,0),MATCH(K$29,'S&amp;L BESS - O&amp;M Costs'!$F$8:$J$8,0))</f>
        <v>460100</v>
      </c>
      <c r="L43" s="153">
        <f>INDEX('S&amp;L BESS - O&amp;M Costs'!$F$13:$J$24,MATCH($Z43,'S&amp;L BESS - O&amp;M Costs'!$D$13:$D$24,0),MATCH(L$29,'S&amp;L BESS - O&amp;M Costs'!$F$8:$J$8,0))</f>
        <v>489500</v>
      </c>
      <c r="M43" s="153">
        <f>INDEX('S&amp;L BESS - O&amp;M Costs'!$F$13:$J$24,MATCH($Z43,'S&amp;L BESS - O&amp;M Costs'!$D$13:$D$24,0),MATCH(M$29,'S&amp;L BESS - O&amp;M Costs'!$F$8:$J$8,0))</f>
        <v>335300</v>
      </c>
      <c r="N43" s="153">
        <f>INDEX('S&amp;L BESS - O&amp;M Costs'!$F$13:$J$24,MATCH($Z43,'S&amp;L BESS - O&amp;M Costs'!$D$13:$D$24,0),MATCH(N$29,'S&amp;L BESS - O&amp;M Costs'!$F$8:$J$8,0))</f>
        <v>400900</v>
      </c>
      <c r="O43" s="153">
        <f>INDEX('S&amp;L BESS - O&amp;M Costs'!$F$13:$J$24,MATCH($Z43,'S&amp;L BESS - O&amp;M Costs'!$D$13:$D$24,0),MATCH(O$29,'S&amp;L BESS - O&amp;M Costs'!$F$8:$J$8,0))</f>
        <v>442900</v>
      </c>
      <c r="Q43" s="357"/>
      <c r="R43" s="156">
        <f t="shared" si="1"/>
        <v>501200.37352480605</v>
      </c>
      <c r="S43" s="156">
        <f t="shared" si="1"/>
        <v>533226.6525546459</v>
      </c>
      <c r="T43" s="156">
        <f t="shared" si="1"/>
        <v>365252.08703079214</v>
      </c>
      <c r="U43" s="156">
        <f t="shared" si="1"/>
        <v>436712.0837776456</v>
      </c>
      <c r="V43" s="156">
        <f t="shared" si="1"/>
        <v>482463.91096313106</v>
      </c>
      <c r="Z43" s="240" t="str">
        <f>'S&amp;L BESS - O&amp;M Costs'!$D16</f>
        <v>Miscellaneous Owner Costs</v>
      </c>
    </row>
    <row r="44" spans="1:29" s="152" customFormat="1" ht="15" customHeight="1" x14ac:dyDescent="0.35">
      <c r="A44" s="313">
        <f>MAX($A$10:A43)+1</f>
        <v>14</v>
      </c>
      <c r="D44" s="216" t="str">
        <f>'BESS OM Costs'!$Z44</f>
        <v xml:space="preserve">Operating Insurance  </v>
      </c>
      <c r="E44" s="152" t="str">
        <f t="shared" si="2"/>
        <v>$/year</v>
      </c>
      <c r="F44" s="213" t="str">
        <f t="shared" si="0"/>
        <v>[14]</v>
      </c>
      <c r="G44" s="276" t="str">
        <f>$F$14&amp;" x "&amp;$F$37</f>
        <v>[4] x [9]</v>
      </c>
      <c r="H44" s="160"/>
      <c r="I44" s="160"/>
      <c r="J44" s="357"/>
      <c r="K44" s="153">
        <f>$H$14*K37</f>
        <v>1730603.2127926927</v>
      </c>
      <c r="L44" s="153">
        <f>$H$14*L37</f>
        <v>1656608.1749968866</v>
      </c>
      <c r="M44" s="153">
        <f>$H$14*M37</f>
        <v>1653825.1628495809</v>
      </c>
      <c r="N44" s="153">
        <f>$H$14*N37</f>
        <v>1685565.4466664202</v>
      </c>
      <c r="O44" s="153">
        <f>$H$14*O37</f>
        <v>1869379.7866146935</v>
      </c>
      <c r="Q44" s="357"/>
      <c r="R44" s="153">
        <f>$H$14*R37</f>
        <v>1832476.2800239814</v>
      </c>
      <c r="S44" s="153">
        <f>$H$14*S37</f>
        <v>1753458.1944324672</v>
      </c>
      <c r="T44" s="153">
        <f>$H$14*T37</f>
        <v>1750486.2614676529</v>
      </c>
      <c r="U44" s="153">
        <f>$H$14*U37</f>
        <v>1784381.1892634747</v>
      </c>
      <c r="V44" s="153">
        <f>$H$14*V37</f>
        <v>1979743.6139308081</v>
      </c>
      <c r="Z44" s="240" t="str">
        <f>'S&amp;L BESS - O&amp;M Costs'!$D17</f>
        <v xml:space="preserve">Operating Insurance  </v>
      </c>
    </row>
    <row r="45" spans="1:29" s="152" customFormat="1" ht="15" customHeight="1" x14ac:dyDescent="0.35">
      <c r="A45" s="313">
        <f>MAX($A$10:A44)+1</f>
        <v>15</v>
      </c>
      <c r="D45" s="216" t="str">
        <f>'BESS OM Costs'!$Z45</f>
        <v>Land Lease or Property Taxes</v>
      </c>
      <c r="E45" s="152" t="str">
        <f t="shared" si="2"/>
        <v>$/year</v>
      </c>
      <c r="F45" s="312" t="str">
        <f t="shared" si="0"/>
        <v>[15]</v>
      </c>
      <c r="G45" s="272" t="str">
        <f>'Annual Property Tax Costs'!$D$3</f>
        <v>Table B5</v>
      </c>
      <c r="H45" s="154"/>
      <c r="I45" s="154"/>
      <c r="J45" s="328"/>
      <c r="K45" s="153">
        <f>INDEX('Annual Property Tax Costs'!$44:$44,1,MATCH($H$7&amp;"_"&amp;K$29,'Annual Property Tax Costs'!$27:$27,0))</f>
        <v>2170899.3605743176</v>
      </c>
      <c r="L45" s="153">
        <f>INDEX('Annual Property Tax Costs'!$44:$44,1,MATCH($H$7&amp;"_"&amp;L$29,'Annual Property Tax Costs'!$27:$27,0))</f>
        <v>4221672.6686471142</v>
      </c>
      <c r="M45" s="153">
        <f>INDEX('Annual Property Tax Costs'!$44:$44,1,MATCH($H$7&amp;"_"&amp;M$29,'Annual Property Tax Costs'!$27:$27,0))</f>
        <v>3004563.7395579237</v>
      </c>
      <c r="N45" s="153">
        <f>INDEX('Annual Property Tax Costs'!$44:$44,1,MATCH($H$7&amp;"_"&amp;N$29,'Annual Property Tax Costs'!$27:$27,0))</f>
        <v>2449628.4779024022</v>
      </c>
      <c r="O45" s="153">
        <f>INDEX('Annual Property Tax Costs'!$44:$44,1,MATCH($H$7&amp;"_"&amp;O$29,'Annual Property Tax Costs'!$27:$27,0))</f>
        <v>2366797.6817996753</v>
      </c>
      <c r="P45" s="313"/>
      <c r="Q45" s="328"/>
      <c r="R45" s="153">
        <f ca="1">INDEX('Annual Property Tax Costs'!$46:$46,1,MATCH($H$7&amp;"_"&amp;R$29,'Annual Property Tax Costs'!$27:$27,0))</f>
        <v>2345955.6020545447</v>
      </c>
      <c r="S45" s="153">
        <f ca="1">INDEX('Annual Property Tax Costs'!$46:$46,1,MATCH($H$7&amp;"_"&amp;S$29,'Annual Property Tax Costs'!$27:$27,0))</f>
        <v>4476731.3331640875</v>
      </c>
      <c r="T45" s="153">
        <f ca="1">INDEX('Annual Property Tax Costs'!$46:$46,1,MATCH($H$7&amp;"_"&amp;T$29,'Annual Property Tax Costs'!$27:$27,0))</f>
        <v>3206735.6595763033</v>
      </c>
      <c r="U45" s="153">
        <f ca="1">INDEX('Annual Property Tax Costs'!$46:$46,1,MATCH($H$7&amp;"_"&amp;U$29,'Annual Property Tax Costs'!$27:$27,0))</f>
        <v>2647160.7827859782</v>
      </c>
      <c r="V45" s="153">
        <f ca="1">INDEX('Annual Property Tax Costs'!$46:$46,1,MATCH($H$7&amp;"_"&amp;V$29,'Annual Property Tax Costs'!$27:$27,0))</f>
        <v>2557650.7052260381</v>
      </c>
      <c r="Z45" s="240" t="str">
        <f>'S&amp;L BESS - O&amp;M Costs'!$D18</f>
        <v>Land Lease or Property Taxes</v>
      </c>
    </row>
    <row r="46" spans="1:29" s="152" customFormat="1" ht="15" customHeight="1" x14ac:dyDescent="0.35">
      <c r="A46" s="313">
        <f>MAX($A$10:A45)+1</f>
        <v>16</v>
      </c>
      <c r="D46" s="216" t="s">
        <v>648</v>
      </c>
      <c r="E46" s="152" t="str">
        <f t="shared" si="2"/>
        <v>$/year</v>
      </c>
      <c r="F46" s="312" t="str">
        <f t="shared" si="0"/>
        <v>[16]</v>
      </c>
      <c r="G46" s="272" t="str">
        <f>F15&amp;" x "&amp;F16&amp;" x "&amp;F37</f>
        <v>[5] x [6] x [9]</v>
      </c>
      <c r="H46" s="154"/>
      <c r="I46" s="154"/>
      <c r="J46" s="328"/>
      <c r="K46" s="153">
        <f>$H$15*K37*$H$16</f>
        <v>101485.35978426003</v>
      </c>
      <c r="L46" s="153">
        <f t="shared" ref="L46:O46" si="3">$H$15*L37*$H$16</f>
        <v>97146.171588232537</v>
      </c>
      <c r="M46" s="153">
        <f t="shared" si="3"/>
        <v>96982.971273472052</v>
      </c>
      <c r="N46" s="153">
        <f t="shared" si="3"/>
        <v>98844.2726387968</v>
      </c>
      <c r="O46" s="153">
        <f t="shared" si="3"/>
        <v>109623.44159287143</v>
      </c>
      <c r="P46" s="313"/>
      <c r="Q46" s="328"/>
      <c r="R46" s="153">
        <f>$H$15*R37*$H$16</f>
        <v>107459.36052797174</v>
      </c>
      <c r="S46" s="153">
        <f t="shared" ref="S46:V46" si="4">$H$15*S37*$H$16</f>
        <v>102825.61271886094</v>
      </c>
      <c r="T46" s="153">
        <f t="shared" si="4"/>
        <v>102651.33378307751</v>
      </c>
      <c r="U46" s="153">
        <f t="shared" si="4"/>
        <v>104638.98694169472</v>
      </c>
      <c r="V46" s="153">
        <f t="shared" si="4"/>
        <v>116095.35418355117</v>
      </c>
      <c r="Z46" s="240"/>
    </row>
    <row r="47" spans="1:29" s="152" customFormat="1" ht="6" customHeight="1" x14ac:dyDescent="0.35">
      <c r="D47" s="159"/>
      <c r="E47" s="155"/>
      <c r="F47" s="155"/>
      <c r="G47" s="159"/>
      <c r="H47" s="155"/>
      <c r="I47" s="204"/>
      <c r="J47" s="204"/>
      <c r="K47" s="159"/>
      <c r="L47" s="159"/>
      <c r="M47" s="159"/>
      <c r="N47" s="159"/>
      <c r="O47" s="159"/>
      <c r="Q47" s="204"/>
      <c r="R47" s="159"/>
      <c r="S47" s="155"/>
      <c r="T47" s="155"/>
      <c r="U47" s="155"/>
      <c r="V47" s="159"/>
      <c r="Z47" s="214"/>
    </row>
    <row r="48" spans="1:29" s="152" customFormat="1" ht="6" customHeight="1" x14ac:dyDescent="0.35">
      <c r="D48" s="313"/>
      <c r="G48" s="313"/>
      <c r="J48" s="204"/>
      <c r="K48" s="313"/>
      <c r="L48" s="313"/>
      <c r="M48" s="313"/>
      <c r="N48" s="313"/>
      <c r="O48" s="313"/>
      <c r="Q48" s="204"/>
      <c r="R48" s="292"/>
      <c r="V48" s="151"/>
      <c r="Z48" s="214"/>
    </row>
    <row r="49" spans="1:26" s="152" customFormat="1" ht="15" customHeight="1" x14ac:dyDescent="0.35">
      <c r="D49" s="162" t="s">
        <v>176</v>
      </c>
      <c r="G49" s="313"/>
      <c r="J49" s="204"/>
      <c r="K49" s="313" t="s">
        <v>163</v>
      </c>
      <c r="L49" s="313" t="s">
        <v>163</v>
      </c>
      <c r="M49" s="313" t="s">
        <v>163</v>
      </c>
      <c r="N49" s="313" t="s">
        <v>163</v>
      </c>
      <c r="O49" s="313" t="s">
        <v>163</v>
      </c>
      <c r="Q49" s="204"/>
      <c r="R49" s="292"/>
      <c r="V49" s="151"/>
      <c r="Z49" s="214"/>
    </row>
    <row r="50" spans="1:26" s="152" customFormat="1" ht="15" customHeight="1" x14ac:dyDescent="0.35">
      <c r="A50" s="151">
        <f>MAX($A$10:A49)+1</f>
        <v>17</v>
      </c>
      <c r="D50" s="223" t="s">
        <v>210</v>
      </c>
      <c r="E50" s="161" t="str">
        <f>"$/year"</f>
        <v>$/year</v>
      </c>
      <c r="F50" s="224" t="str">
        <f>"["&amp;A50&amp;"]"</f>
        <v>[17]</v>
      </c>
      <c r="G50" s="2129" t="str">
        <f>"SUM("&amp;$F$40&amp;":"&amp;$F$46&amp;")"</f>
        <v>SUM([10]:[16])</v>
      </c>
      <c r="K50" s="164">
        <f>SUM(K$40:K$46)</f>
        <v>8770087.9331512712</v>
      </c>
      <c r="L50" s="164">
        <f>SUM(L$40:L$46)</f>
        <v>10824027.015232233</v>
      </c>
      <c r="M50" s="164">
        <f>SUM(M$40:M$46)</f>
        <v>9176771.8736809772</v>
      </c>
      <c r="N50" s="164">
        <f>SUM(N$40:N$46)</f>
        <v>8837138.1972076185</v>
      </c>
      <c r="O50" s="164">
        <f>SUM(O$40:O$46)</f>
        <v>9065300.9100072421</v>
      </c>
      <c r="Q50" s="283"/>
      <c r="R50" s="164">
        <f ca="1">SUM(R$40:R$46)</f>
        <v>9478832.561080968</v>
      </c>
      <c r="S50" s="164">
        <f ca="1">SUM(S$40:S$46)</f>
        <v>11614736.790114101</v>
      </c>
      <c r="T50" s="164">
        <f ca="1">SUM(T$40:T$46)</f>
        <v>9876233.4623962063</v>
      </c>
      <c r="U50" s="164">
        <f ca="1">SUM(U$40:U$46)</f>
        <v>9550472.2855984829</v>
      </c>
      <c r="V50" s="164">
        <f ca="1">SUM(V$40:V$46)</f>
        <v>9794578.9210046493</v>
      </c>
      <c r="X50" s="161"/>
      <c r="Y50" s="161"/>
      <c r="Z50" s="214"/>
    </row>
    <row r="51" spans="1:26" s="152" customFormat="1" ht="15" customHeight="1" x14ac:dyDescent="0.35">
      <c r="A51" s="151">
        <f>MAX($A$10:A50)+1</f>
        <v>18</v>
      </c>
      <c r="D51" s="215" t="s">
        <v>211</v>
      </c>
      <c r="E51" s="152" t="str">
        <f>"$/kW-yr"</f>
        <v>$/kW-yr</v>
      </c>
      <c r="F51" s="213" t="str">
        <f>"["&amp;A51&amp;"]"</f>
        <v>[18]</v>
      </c>
      <c r="G51" s="313" t="str">
        <f>$F$50&amp;" / ("&amp;$F$34&amp;" x 1000)"</f>
        <v>[17] / ([8] x 1000)</v>
      </c>
      <c r="K51" s="158">
        <f>K$50/(K$34*1000)</f>
        <v>43.850439665756355</v>
      </c>
      <c r="L51" s="158">
        <f>L$50/(L$34*1000)</f>
        <v>54.120135076161169</v>
      </c>
      <c r="M51" s="158">
        <f>M$50/(M$34*1000)</f>
        <v>45.883859368404885</v>
      </c>
      <c r="N51" s="158">
        <f>N$50/(N$34*1000)</f>
        <v>44.18569098603809</v>
      </c>
      <c r="O51" s="158">
        <f>O$50/(O$34*1000)</f>
        <v>45.326504550036212</v>
      </c>
      <c r="R51" s="158">
        <f ca="1">R$50/(R$34*1000)</f>
        <v>47.394162805404839</v>
      </c>
      <c r="S51" s="158">
        <f ca="1">S$50/(S$34*1000)</f>
        <v>58.073683950570505</v>
      </c>
      <c r="T51" s="158">
        <f ca="1">T$50/(T$34*1000)</f>
        <v>49.381167311981031</v>
      </c>
      <c r="U51" s="158">
        <f ca="1">U$50/(U$34*1000)</f>
        <v>47.752361427992412</v>
      </c>
      <c r="V51" s="158">
        <f ca="1">V$50/(V$34*1000)</f>
        <v>48.972894605023249</v>
      </c>
      <c r="Z51" s="214"/>
    </row>
    <row r="52" spans="1:26" customFormat="1" ht="6" customHeight="1" thickBot="1" x14ac:dyDescent="0.4">
      <c r="D52" s="20"/>
      <c r="E52" s="20"/>
      <c r="F52" s="20"/>
      <c r="G52" s="44"/>
      <c r="H52" s="44"/>
      <c r="I52" s="44"/>
      <c r="J52" s="44"/>
      <c r="K52" s="44"/>
      <c r="L52" s="44"/>
      <c r="M52" s="44"/>
      <c r="N52" s="44"/>
      <c r="O52" s="44"/>
      <c r="P52" s="20"/>
      <c r="Q52" s="20"/>
      <c r="R52" s="20"/>
      <c r="S52" s="20"/>
      <c r="T52" s="20"/>
      <c r="U52" s="20"/>
      <c r="V52" s="44"/>
      <c r="Z52" s="48"/>
    </row>
    <row r="53" spans="1:26" customFormat="1" ht="6" customHeight="1" thickTop="1" x14ac:dyDescent="0.35">
      <c r="D53" s="5"/>
      <c r="E53" s="5"/>
      <c r="F53" s="5"/>
      <c r="G53" s="26"/>
      <c r="H53" s="26"/>
      <c r="I53" s="26"/>
      <c r="J53" s="26"/>
      <c r="K53" s="26"/>
      <c r="L53" s="26"/>
      <c r="M53" s="26"/>
      <c r="N53" s="26"/>
      <c r="O53" s="26"/>
      <c r="P53" s="5"/>
      <c r="Q53" s="5"/>
      <c r="R53" s="5"/>
      <c r="S53" s="5"/>
      <c r="T53" s="5"/>
      <c r="U53" s="5"/>
      <c r="V53" s="26"/>
      <c r="Z53" s="48"/>
    </row>
    <row r="54" spans="1:26" ht="15" customHeight="1" x14ac:dyDescent="0.35">
      <c r="D54" s="5" t="s">
        <v>50</v>
      </c>
      <c r="X54" s="134"/>
      <c r="Y54" s="134"/>
    </row>
    <row r="55" spans="1:26" s="1115" customFormat="1" ht="15" customHeight="1" x14ac:dyDescent="0.35">
      <c r="D55" s="404" t="s">
        <v>679</v>
      </c>
      <c r="Z55" s="36"/>
    </row>
    <row r="56" spans="1:26" ht="15" customHeight="1" x14ac:dyDescent="0.35">
      <c r="D56" s="93" t="str">
        <f>R24&amp;" to "&amp;V24&amp;": All cost components are escalated to the Online Date according to the Escalation Rate in "&amp;$H$24&amp;"."</f>
        <v>[G] to [K]: All cost components are escalated to the Online Date according to the Escalation Rate in [A].</v>
      </c>
      <c r="E56" s="27"/>
      <c r="F56" s="27"/>
      <c r="G56" s="93"/>
      <c r="H56" s="27"/>
      <c r="I56" s="27"/>
      <c r="J56" s="27"/>
      <c r="K56" s="27"/>
      <c r="L56" s="27"/>
      <c r="M56" s="27"/>
      <c r="N56" s="27"/>
      <c r="O56" s="27"/>
      <c r="P56" s="27"/>
      <c r="Q56" s="27"/>
      <c r="R56" s="27"/>
      <c r="S56" s="27"/>
      <c r="T56" s="27"/>
      <c r="U56" s="27"/>
      <c r="V56" s="93"/>
      <c r="X56" s="133"/>
      <c r="Y56" s="133"/>
    </row>
    <row r="57" spans="1:26" ht="15" customHeight="1" x14ac:dyDescent="0.35">
      <c r="D57" s="27"/>
      <c r="E57" s="147"/>
      <c r="F57" s="147"/>
      <c r="G57" s="147"/>
      <c r="H57" s="147"/>
      <c r="I57" s="147"/>
      <c r="J57" s="147"/>
      <c r="K57" s="147"/>
      <c r="L57" s="147"/>
      <c r="M57" s="147"/>
      <c r="N57" s="147"/>
      <c r="O57" s="147"/>
      <c r="P57" s="147"/>
      <c r="Q57" s="147"/>
      <c r="R57" s="147"/>
      <c r="S57" s="147"/>
      <c r="T57" s="147"/>
      <c r="U57" s="147"/>
      <c r="V57" s="147"/>
      <c r="X57" s="133"/>
      <c r="Y57" s="133"/>
    </row>
    <row r="58" spans="1:26" ht="15" customHeight="1" x14ac:dyDescent="0.35">
      <c r="D58" s="93"/>
      <c r="E58" s="146"/>
      <c r="F58" s="146"/>
      <c r="G58" s="2064"/>
      <c r="H58" s="186"/>
      <c r="I58" s="1458"/>
      <c r="J58" s="351"/>
      <c r="K58" s="259"/>
      <c r="L58" s="259"/>
      <c r="M58" s="259"/>
      <c r="N58" s="259"/>
      <c r="O58" s="259"/>
      <c r="P58" s="146"/>
      <c r="Q58" s="259"/>
      <c r="R58" s="259"/>
      <c r="S58" s="259"/>
      <c r="T58" s="259"/>
      <c r="U58" s="259"/>
      <c r="V58" s="146"/>
      <c r="X58" s="133"/>
      <c r="Y58" s="133"/>
    </row>
    <row r="59" spans="1:26" ht="15" customHeight="1" x14ac:dyDescent="0.35">
      <c r="D59" s="93"/>
      <c r="E59" s="181"/>
      <c r="F59" s="181"/>
      <c r="G59" s="2064"/>
      <c r="H59" s="186"/>
      <c r="I59" s="1458"/>
      <c r="J59" s="351"/>
      <c r="K59" s="259"/>
      <c r="L59" s="259"/>
      <c r="M59" s="259"/>
      <c r="N59" s="259"/>
      <c r="O59" s="259"/>
      <c r="P59" s="181"/>
      <c r="Q59" s="259"/>
      <c r="R59" s="259"/>
      <c r="S59" s="259"/>
      <c r="T59" s="259"/>
      <c r="U59" s="259"/>
      <c r="V59" s="181"/>
      <c r="X59" s="133"/>
      <c r="Y59" s="133"/>
    </row>
    <row r="60" spans="1:26" ht="15" customHeight="1" x14ac:dyDescent="0.35">
      <c r="D60" s="93"/>
      <c r="E60" s="181"/>
      <c r="F60" s="181"/>
      <c r="G60" s="2064"/>
      <c r="H60" s="186"/>
      <c r="I60" s="1458"/>
      <c r="J60" s="351"/>
      <c r="K60" s="259"/>
      <c r="L60" s="1090"/>
      <c r="M60" s="1090"/>
      <c r="N60" s="1090"/>
      <c r="O60" s="1090"/>
      <c r="P60" s="181"/>
      <c r="Q60" s="259"/>
      <c r="R60" s="259"/>
      <c r="S60" s="259"/>
      <c r="T60" s="259"/>
      <c r="U60" s="259"/>
      <c r="V60" s="181"/>
      <c r="X60" s="133"/>
      <c r="Y60" s="133"/>
    </row>
    <row r="61" spans="1:26" ht="15" customHeight="1" x14ac:dyDescent="0.35">
      <c r="D61" s="93"/>
      <c r="E61" s="181"/>
      <c r="F61" s="181"/>
      <c r="G61" s="2064"/>
      <c r="H61" s="186"/>
      <c r="I61" s="1458"/>
      <c r="J61" s="351"/>
      <c r="K61" s="1090"/>
      <c r="L61" s="1090"/>
      <c r="M61" s="1090"/>
      <c r="N61" s="1090"/>
      <c r="O61" s="1090"/>
      <c r="P61" s="181"/>
      <c r="Q61" s="259"/>
      <c r="R61" s="259"/>
      <c r="S61" s="259"/>
      <c r="T61" s="259"/>
      <c r="U61" s="259"/>
      <c r="V61" s="181"/>
      <c r="X61" s="133"/>
      <c r="Y61" s="133"/>
    </row>
    <row r="62" spans="1:26" ht="15" customHeight="1" x14ac:dyDescent="0.35">
      <c r="E62" s="181"/>
      <c r="F62" s="181"/>
      <c r="G62" s="2064"/>
      <c r="H62" s="186"/>
      <c r="I62" s="1458"/>
      <c r="J62" s="351"/>
      <c r="K62" s="1090"/>
      <c r="L62" s="1090"/>
      <c r="M62" s="1090"/>
      <c r="N62" s="1090"/>
      <c r="O62" s="1090"/>
      <c r="P62" s="181"/>
      <c r="Q62" s="259"/>
      <c r="R62" s="259"/>
      <c r="S62" s="259"/>
      <c r="T62" s="259"/>
      <c r="U62" s="259"/>
      <c r="V62" s="181"/>
      <c r="X62" s="133"/>
      <c r="Y62" s="133"/>
    </row>
    <row r="63" spans="1:26" ht="15" customHeight="1" x14ac:dyDescent="0.35">
      <c r="D63" s="93"/>
      <c r="E63" s="181"/>
      <c r="F63" s="181"/>
      <c r="G63" s="2064"/>
      <c r="H63" s="186"/>
      <c r="I63" s="1458"/>
      <c r="J63" s="351"/>
      <c r="K63" s="1090"/>
      <c r="L63" s="1090"/>
      <c r="M63" s="1090"/>
      <c r="N63" s="1090"/>
      <c r="O63" s="1090"/>
      <c r="P63" s="181"/>
      <c r="Q63" s="259"/>
      <c r="R63" s="259"/>
      <c r="S63" s="259"/>
      <c r="T63" s="259"/>
      <c r="U63" s="259"/>
      <c r="V63" s="181"/>
      <c r="X63" s="133"/>
      <c r="Y63" s="133"/>
    </row>
    <row r="64" spans="1:26" ht="15" customHeight="1" x14ac:dyDescent="0.35">
      <c r="D64" s="93"/>
      <c r="E64" s="181"/>
      <c r="F64" s="181"/>
      <c r="G64" s="2064"/>
      <c r="H64" s="186"/>
      <c r="I64" s="1458"/>
      <c r="J64" s="351"/>
      <c r="K64" s="1090"/>
      <c r="L64" s="1090"/>
      <c r="M64" s="1090"/>
      <c r="N64" s="1090"/>
      <c r="O64" s="1090"/>
      <c r="P64" s="181"/>
      <c r="Q64" s="259"/>
      <c r="R64" s="259"/>
      <c r="S64" s="259"/>
      <c r="T64" s="259"/>
      <c r="U64" s="259"/>
      <c r="V64" s="181"/>
      <c r="X64" s="133"/>
      <c r="Y64" s="133"/>
    </row>
    <row r="65" spans="4:25" ht="15" customHeight="1" x14ac:dyDescent="0.35">
      <c r="D65" s="146"/>
      <c r="E65" s="146"/>
      <c r="F65" s="146"/>
      <c r="G65" s="2064"/>
      <c r="H65" s="186"/>
      <c r="I65" s="1458"/>
      <c r="J65" s="351"/>
      <c r="K65" s="1090"/>
      <c r="L65" s="1090"/>
      <c r="M65" s="1090"/>
      <c r="N65" s="1090"/>
      <c r="O65" s="1090"/>
      <c r="P65" s="146"/>
      <c r="Q65" s="259"/>
      <c r="R65" s="259"/>
      <c r="S65" s="259"/>
      <c r="T65" s="259"/>
      <c r="U65" s="259"/>
      <c r="V65" s="146"/>
      <c r="X65" s="133"/>
      <c r="Y65" s="133"/>
    </row>
    <row r="66" spans="4:25" ht="15" customHeight="1" x14ac:dyDescent="0.35">
      <c r="K66" s="1090"/>
      <c r="L66" s="1090"/>
      <c r="M66" s="1090"/>
      <c r="N66" s="1090"/>
      <c r="O66" s="1090"/>
    </row>
    <row r="67" spans="4:25" ht="15" customHeight="1" x14ac:dyDescent="0.35">
      <c r="D67" s="27"/>
      <c r="K67" s="1090"/>
      <c r="L67" s="1090"/>
      <c r="M67" s="1090"/>
      <c r="N67" s="1090"/>
      <c r="O67" s="1090"/>
    </row>
    <row r="68" spans="4:25" ht="15" customHeight="1" x14ac:dyDescent="0.35">
      <c r="K68" s="1090"/>
      <c r="L68" s="1090"/>
      <c r="M68" s="1090"/>
      <c r="N68" s="1090"/>
      <c r="O68" s="1090"/>
    </row>
    <row r="69" spans="4:25" ht="15" customHeight="1" x14ac:dyDescent="0.35">
      <c r="K69" s="1090"/>
      <c r="L69" s="1090"/>
      <c r="M69" s="1090"/>
      <c r="N69" s="1090"/>
      <c r="O69" s="1090"/>
    </row>
  </sheetData>
  <mergeCells count="1">
    <mergeCell ref="D29:D30"/>
  </mergeCells>
  <phoneticPr fontId="26" type="noConversion"/>
  <conditionalFormatting sqref="X54:Y65">
    <cfRule type="cellIs" dxfId="35" priority="1" operator="equal">
      <formula>TRUE</formula>
    </cfRule>
    <cfRule type="cellIs" dxfId="34"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D98E-57D6-4DBA-8A58-092CB5FDE09D}">
  <sheetPr codeName="Sheet28">
    <pageSetUpPr autoPageBreaks="0"/>
  </sheetPr>
  <dimension ref="A1:BF90"/>
  <sheetViews>
    <sheetView showGridLines="0" zoomScale="70" zoomScaleNormal="70" workbookViewId="0"/>
  </sheetViews>
  <sheetFormatPr defaultColWidth="8.7265625" defaultRowHeight="15" customHeight="1" outlineLevelRow="1" outlineLevelCol="1" x14ac:dyDescent="0.35"/>
  <cols>
    <col min="1" max="3" width="13.54296875" style="98" customWidth="1"/>
    <col min="4" max="4" width="33.453125" style="334" bestFit="1" customWidth="1"/>
    <col min="5" max="5" width="11.54296875" style="334" customWidth="1"/>
    <col min="6" max="6" width="4.453125" style="1731" bestFit="1" customWidth="1"/>
    <col min="7" max="7" width="13.54296875" style="334" customWidth="1"/>
    <col min="8" max="8" width="0.81640625" style="334" customWidth="1"/>
    <col min="9" max="19" width="15.1796875" style="334" customWidth="1"/>
    <col min="20" max="21" width="0.81640625" style="334" customWidth="1"/>
    <col min="22" max="32" width="15.1796875" style="334" customWidth="1"/>
    <col min="33" max="34" width="0.81640625" style="334" customWidth="1"/>
    <col min="35" max="45" width="15.1796875" style="334" customWidth="1"/>
    <col min="46" max="47" width="13.1796875" style="334" customWidth="1"/>
    <col min="48" max="48" width="11.7265625" style="334" customWidth="1"/>
    <col min="49" max="49" width="17" style="339" hidden="1" customWidth="1" outlineLevel="1"/>
    <col min="50" max="50" width="8.7265625" style="339" hidden="1" customWidth="1" outlineLevel="1"/>
    <col min="51" max="51" width="11.7265625" style="334" customWidth="1" collapsed="1"/>
    <col min="52" max="53" width="11.7265625" style="334" customWidth="1"/>
    <col min="54" max="54" width="12.81640625" style="334" customWidth="1"/>
    <col min="55" max="16384" width="8.7265625" style="98"/>
  </cols>
  <sheetData>
    <row r="1" spans="1:55" s="26" customFormat="1" ht="15" customHeight="1" x14ac:dyDescent="0.35">
      <c r="A1" s="81" t="s">
        <v>497</v>
      </c>
      <c r="D1" s="26">
        <v>65</v>
      </c>
      <c r="E1" s="26">
        <f>MAX($D$1:D1)+1</f>
        <v>66</v>
      </c>
      <c r="F1" s="92"/>
      <c r="G1" s="26">
        <f>MAX($D$1:F1)+1</f>
        <v>67</v>
      </c>
      <c r="I1" s="26">
        <f>MAX($D$1:H1)+1</f>
        <v>68</v>
      </c>
      <c r="J1" s="26">
        <f>MAX($D$1:I1)+1</f>
        <v>69</v>
      </c>
      <c r="K1" s="26">
        <f>MAX($D$1:J1)+1</f>
        <v>70</v>
      </c>
      <c r="L1" s="26">
        <f>MAX($D$1:K1)+1</f>
        <v>71</v>
      </c>
      <c r="M1" s="26">
        <f>MAX($D$1:L1)+1</f>
        <v>72</v>
      </c>
      <c r="N1" s="26">
        <f>MAX($D$1:M1)+1</f>
        <v>73</v>
      </c>
      <c r="O1" s="26">
        <f>MAX($D$1:N1)+1</f>
        <v>74</v>
      </c>
      <c r="P1" s="26">
        <f>MAX($D$1:O1)+1</f>
        <v>75</v>
      </c>
      <c r="Q1" s="26">
        <f>MAX($D$1:P1)+1</f>
        <v>76</v>
      </c>
      <c r="R1" s="26">
        <f>MAX($D$1:Q1)+1</f>
        <v>77</v>
      </c>
      <c r="S1" s="26">
        <f>MAX($D$1:R1)+1</f>
        <v>78</v>
      </c>
      <c r="V1" s="26">
        <f>MAX($D$1:U1)+1</f>
        <v>79</v>
      </c>
      <c r="W1" s="26">
        <f>MAX($D$1:V1)+1</f>
        <v>80</v>
      </c>
      <c r="X1" s="26">
        <f>MAX($D$1:W1)+1</f>
        <v>81</v>
      </c>
      <c r="Y1" s="26">
        <f>MAX($D$1:X1)+1</f>
        <v>82</v>
      </c>
      <c r="Z1" s="26">
        <f>MAX($D$1:Y1)+1</f>
        <v>83</v>
      </c>
      <c r="AA1" s="26">
        <f>MAX($D$1:Z1)+1</f>
        <v>84</v>
      </c>
      <c r="AB1" s="26">
        <f>MAX($D$1:AA1)+1</f>
        <v>85</v>
      </c>
      <c r="AC1" s="26">
        <f>MAX($D$1:AB1)+1</f>
        <v>86</v>
      </c>
      <c r="AD1" s="26">
        <f>MAX($D$1:AC1)+1</f>
        <v>87</v>
      </c>
      <c r="AE1" s="26">
        <f>MAX($D$1:AD1)+1</f>
        <v>88</v>
      </c>
      <c r="AF1" s="26">
        <f>MAX($D$1:AE1)+1</f>
        <v>89</v>
      </c>
      <c r="AI1" s="26">
        <f>MAX($D$1:AH1)+1</f>
        <v>90</v>
      </c>
      <c r="AJ1" s="26">
        <v>65</v>
      </c>
      <c r="AK1" s="26">
        <f>MAX($AJ$1:AJ1)+1</f>
        <v>66</v>
      </c>
      <c r="AL1" s="26">
        <f>MAX($AJ$1:AK1)+1</f>
        <v>67</v>
      </c>
      <c r="AM1" s="26">
        <f>MAX($AJ$1:AL1)+1</f>
        <v>68</v>
      </c>
      <c r="AN1" s="26">
        <f>MAX($AJ$1:AM1)+1</f>
        <v>69</v>
      </c>
      <c r="AO1" s="26">
        <f>MAX($AJ$1:AN1)+1</f>
        <v>70</v>
      </c>
      <c r="AP1" s="26">
        <f>MAX($AJ$1:AO1)+1</f>
        <v>71</v>
      </c>
      <c r="AQ1" s="26">
        <f>MAX($AJ$1:AP1)+1</f>
        <v>72</v>
      </c>
      <c r="AR1" s="26">
        <f>MAX($AJ$1:AQ1)+1</f>
        <v>73</v>
      </c>
      <c r="AS1" s="26">
        <f>MAX($AJ$1:AR1)+1</f>
        <v>74</v>
      </c>
      <c r="AW1" s="36"/>
      <c r="AX1" s="36"/>
    </row>
    <row r="2" spans="1:55" s="26" customFormat="1" ht="15" customHeight="1" x14ac:dyDescent="0.35">
      <c r="F2" s="92"/>
      <c r="J2" s="104"/>
      <c r="K2" s="1052"/>
      <c r="L2" s="1052"/>
      <c r="M2" s="104"/>
      <c r="N2" s="1052"/>
      <c r="O2" s="1052"/>
      <c r="P2" s="98"/>
      <c r="Q2" s="98"/>
      <c r="AW2" s="36"/>
      <c r="AX2" s="36"/>
    </row>
    <row r="3" spans="1:55" s="26" customFormat="1" ht="15" customHeight="1" x14ac:dyDescent="0.35">
      <c r="D3" s="88" t="str">
        <f>LEFT($D4, FIND(":",$D4)-1)</f>
        <v>Table B5</v>
      </c>
      <c r="F3" s="92"/>
      <c r="I3" s="88"/>
      <c r="J3" s="289"/>
      <c r="K3" s="289"/>
      <c r="L3" s="289"/>
      <c r="M3" s="289"/>
      <c r="N3" s="289"/>
      <c r="O3" s="289"/>
      <c r="P3" s="98"/>
      <c r="Q3" s="98"/>
      <c r="AW3" s="36"/>
      <c r="AX3" s="36"/>
    </row>
    <row r="4" spans="1:55" s="26" customFormat="1" ht="15" customHeight="1" x14ac:dyDescent="0.35">
      <c r="D4" s="86" t="str">
        <f>ToC!$J$33</f>
        <v>Table B5: Annual Property Tax Costs</v>
      </c>
      <c r="F4" s="92"/>
      <c r="I4" s="86"/>
      <c r="J4" s="290"/>
      <c r="K4" s="290"/>
      <c r="L4" s="290"/>
      <c r="M4" s="290"/>
      <c r="N4" s="290"/>
      <c r="O4" s="290"/>
      <c r="P4" s="98"/>
      <c r="Q4" s="98"/>
      <c r="U4" s="132"/>
      <c r="V4" s="132"/>
      <c r="W4" s="132"/>
      <c r="X4" s="132"/>
      <c r="Y4" s="132"/>
      <c r="Z4" s="132"/>
      <c r="AA4" s="132"/>
      <c r="AB4" s="132"/>
      <c r="AC4" s="132"/>
      <c r="AD4" s="132"/>
      <c r="AE4" s="132"/>
      <c r="AF4" s="132"/>
      <c r="AG4" s="132"/>
      <c r="AH4" s="132"/>
      <c r="AI4" s="132"/>
      <c r="AJ4" s="132"/>
      <c r="AK4" s="132"/>
      <c r="AL4" s="132"/>
      <c r="AM4" s="132"/>
      <c r="AW4" s="36"/>
      <c r="AX4" s="36"/>
    </row>
    <row r="5" spans="1:55" s="26" customFormat="1" ht="6" customHeight="1" thickBot="1" x14ac:dyDescent="0.4">
      <c r="D5" s="132"/>
      <c r="E5" s="132"/>
      <c r="F5" s="1716"/>
      <c r="G5" s="132"/>
      <c r="H5" s="132"/>
      <c r="I5" s="132"/>
      <c r="J5" s="324"/>
      <c r="K5" s="324"/>
      <c r="L5" s="324"/>
      <c r="M5" s="324"/>
      <c r="N5" s="324"/>
      <c r="O5" s="324"/>
      <c r="P5" s="330"/>
      <c r="Q5" s="330"/>
      <c r="R5" s="132"/>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132"/>
      <c r="AU5" s="132"/>
      <c r="AV5" s="132"/>
      <c r="AW5" s="36"/>
      <c r="AX5" s="36"/>
      <c r="AY5" s="132"/>
      <c r="AZ5" s="132"/>
      <c r="BA5" s="132"/>
      <c r="BB5" s="132"/>
    </row>
    <row r="6" spans="1:55" ht="6" customHeight="1" thickTop="1" x14ac:dyDescent="0.35">
      <c r="A6" s="323"/>
      <c r="B6" s="323"/>
      <c r="C6" s="323"/>
      <c r="D6" s="327"/>
      <c r="E6" s="325"/>
      <c r="F6" s="1717"/>
      <c r="G6" s="325"/>
      <c r="H6" s="325"/>
      <c r="I6" s="325"/>
      <c r="J6" s="325"/>
      <c r="K6" s="325"/>
      <c r="L6" s="325"/>
      <c r="M6" s="325"/>
      <c r="N6" s="325"/>
      <c r="O6" s="325"/>
      <c r="P6" s="325"/>
      <c r="Q6" s="325"/>
      <c r="R6" s="325"/>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Y6" s="323"/>
      <c r="AZ6" s="323"/>
      <c r="BA6" s="323"/>
      <c r="BB6" s="323"/>
    </row>
    <row r="7" spans="1:55" ht="15" customHeight="1" x14ac:dyDescent="0.35">
      <c r="A7" s="323"/>
      <c r="B7" s="323"/>
      <c r="C7" s="323"/>
      <c r="D7" s="2204" t="s">
        <v>287</v>
      </c>
      <c r="E7" s="323"/>
      <c r="F7" s="1718"/>
      <c r="G7" s="323"/>
      <c r="H7" s="323"/>
      <c r="I7" s="1058" t="s">
        <v>288</v>
      </c>
      <c r="J7" s="1058" t="s">
        <v>289</v>
      </c>
      <c r="K7" s="1058" t="s">
        <v>339</v>
      </c>
      <c r="L7" s="1058" t="s">
        <v>340</v>
      </c>
      <c r="M7" s="1058" t="s">
        <v>291</v>
      </c>
      <c r="N7" s="1058" t="s">
        <v>299</v>
      </c>
      <c r="O7" s="1058"/>
      <c r="Q7" s="1058"/>
      <c r="U7" s="335"/>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Y7" s="323"/>
      <c r="AZ7" s="323"/>
      <c r="BA7" s="323"/>
      <c r="BB7" s="323"/>
    </row>
    <row r="8" spans="1:55" ht="15" customHeight="1" x14ac:dyDescent="0.35">
      <c r="A8" s="323"/>
      <c r="B8" s="323"/>
      <c r="C8" s="323"/>
      <c r="D8" s="2204"/>
      <c r="E8" s="323"/>
      <c r="F8" s="1718"/>
      <c r="G8" s="323"/>
      <c r="H8" s="323"/>
      <c r="I8" s="274">
        <v>1</v>
      </c>
      <c r="J8" s="274">
        <v>2</v>
      </c>
      <c r="K8" s="274">
        <v>3</v>
      </c>
      <c r="L8" s="274">
        <v>3</v>
      </c>
      <c r="M8" s="274">
        <v>4</v>
      </c>
      <c r="N8" s="274">
        <v>5</v>
      </c>
      <c r="O8" s="274"/>
      <c r="P8" s="335"/>
      <c r="Q8" s="274"/>
      <c r="R8" s="335"/>
      <c r="S8" s="335"/>
      <c r="T8" s="335"/>
      <c r="U8" s="335"/>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Y8" s="323"/>
      <c r="AZ8" s="323"/>
      <c r="BA8" s="323"/>
      <c r="BB8" s="323"/>
    </row>
    <row r="9" spans="1:55" ht="6" customHeight="1" x14ac:dyDescent="0.35">
      <c r="A9" s="323"/>
      <c r="B9" s="323"/>
      <c r="C9" s="323"/>
      <c r="D9" s="336"/>
      <c r="E9" s="331"/>
      <c r="F9" s="1719"/>
      <c r="G9" s="331"/>
      <c r="H9" s="381"/>
      <c r="I9" s="381"/>
      <c r="J9" s="381"/>
      <c r="K9" s="381"/>
      <c r="L9" s="381"/>
      <c r="M9" s="381"/>
      <c r="N9" s="381"/>
      <c r="O9" s="323"/>
      <c r="P9" s="335"/>
      <c r="Q9" s="323"/>
      <c r="R9" s="335"/>
      <c r="S9" s="335"/>
      <c r="T9" s="335"/>
      <c r="U9" s="335"/>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Y9" s="323"/>
      <c r="AZ9" s="323"/>
      <c r="BA9" s="323"/>
      <c r="BB9" s="323"/>
    </row>
    <row r="10" spans="1:55" ht="6" customHeight="1" x14ac:dyDescent="0.35">
      <c r="A10" s="323"/>
      <c r="B10" s="323"/>
      <c r="C10" s="323"/>
      <c r="D10" s="337"/>
      <c r="E10" s="332"/>
      <c r="F10" s="1720"/>
      <c r="G10" s="332"/>
      <c r="H10" s="323"/>
      <c r="I10" s="323"/>
      <c r="J10" s="323"/>
      <c r="K10" s="323"/>
      <c r="L10" s="323"/>
      <c r="M10" s="323"/>
      <c r="N10" s="323"/>
      <c r="O10" s="323"/>
      <c r="P10" s="335"/>
      <c r="Q10" s="323"/>
      <c r="R10" s="335"/>
      <c r="S10" s="335"/>
      <c r="T10" s="335"/>
      <c r="U10" s="335"/>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Y10" s="323"/>
      <c r="AZ10" s="323"/>
      <c r="BA10" s="323"/>
      <c r="BB10" s="323"/>
    </row>
    <row r="11" spans="1:55" ht="15" customHeight="1" x14ac:dyDescent="0.35">
      <c r="D11" s="42" t="s">
        <v>592</v>
      </c>
      <c r="E11" s="42" t="s">
        <v>24</v>
      </c>
      <c r="F11" s="1721"/>
      <c r="G11" s="98"/>
      <c r="H11" s="98"/>
      <c r="I11" s="330"/>
      <c r="J11" s="380"/>
      <c r="K11" s="330"/>
      <c r="L11" s="330"/>
      <c r="M11" s="330"/>
      <c r="N11" s="330"/>
      <c r="O11" s="330"/>
      <c r="P11" s="335"/>
      <c r="Q11" s="330"/>
      <c r="R11" s="335"/>
      <c r="S11" s="335"/>
      <c r="T11" s="335"/>
      <c r="U11" s="335"/>
      <c r="V11" s="330"/>
      <c r="W11" s="330"/>
      <c r="X11" s="330"/>
      <c r="Y11" s="330"/>
      <c r="Z11" s="330"/>
      <c r="AA11" s="330"/>
      <c r="AB11" s="330"/>
      <c r="AC11" s="330"/>
      <c r="AD11" s="330"/>
      <c r="AE11" s="330"/>
      <c r="AF11" s="330"/>
      <c r="AG11" s="330"/>
      <c r="AH11" s="330"/>
      <c r="AI11" s="330"/>
      <c r="AJ11" s="330"/>
      <c r="AK11" s="330"/>
      <c r="AL11" s="98"/>
      <c r="AM11" s="98"/>
      <c r="AN11" s="98"/>
      <c r="AO11" s="98"/>
      <c r="AP11" s="98"/>
      <c r="AQ11" s="98"/>
      <c r="AR11" s="98"/>
      <c r="AS11" s="98"/>
      <c r="AT11" s="98"/>
      <c r="AU11" s="98"/>
      <c r="AV11" s="98"/>
      <c r="AW11" s="41" t="s">
        <v>174</v>
      </c>
      <c r="AY11" s="98"/>
      <c r="AZ11" s="98"/>
      <c r="BA11" s="98"/>
      <c r="BB11" s="98"/>
    </row>
    <row r="12" spans="1:55" s="348" customFormat="1" ht="15" customHeight="1" x14ac:dyDescent="0.35">
      <c r="A12" s="272">
        <v>1</v>
      </c>
      <c r="B12" s="98"/>
      <c r="C12" s="98"/>
      <c r="D12" s="338" t="s">
        <v>344</v>
      </c>
      <c r="E12" s="326" t="s">
        <v>10</v>
      </c>
      <c r="F12" s="1428" t="str">
        <f>"["&amp;A12&amp;"]"</f>
        <v>[1]</v>
      </c>
      <c r="G12" s="326" t="str">
        <f>'Property Tax Rates'!$D$3</f>
        <v>Table C6</v>
      </c>
      <c r="H12" s="326"/>
      <c r="I12" s="382">
        <f>IF(INDEX('Property Tax Rates'!$G$14:$O$38,MATCH(I$7,'Property Tax Rates'!$U$14:$U$38,0),MATCH($AX12,'Property Tax Rates'!$G$9:$O$9,0))="See Notes",'Property Tax Rates'!$D$3,INDEX('Property Tax Rates'!$G$14:$O$38,MATCH(I$7,'Property Tax Rates'!$U$14:$U$38,0),MATCH($AX12,'Property Tax Rates'!$G$9:$O$9,0)))</f>
        <v>3.007710532677469E-2</v>
      </c>
      <c r="J12" s="382">
        <f>IF(INDEX('Property Tax Rates'!$G$14:$O$38,MATCH(J$7,'Property Tax Rates'!$U$14:$U$38,0),MATCH($AX12,'Property Tax Rates'!$G$9:$O$9,0))="See Notes",'Property Tax Rates'!$D$3,INDEX('Property Tax Rates'!$G$14:$O$38,MATCH(J$7,'Property Tax Rates'!$U$14:$U$38,0),MATCH($AX12,'Property Tax Rates'!$G$9:$O$9,0)))</f>
        <v>1.1825000000000002E-2</v>
      </c>
      <c r="K12" s="382">
        <f>IF(INDEX('Property Tax Rates'!$G$14:$O$38,MATCH(K$7,'Property Tax Rates'!$U$14:$U$38,0),MATCH($AX12,'Property Tax Rates'!$G$9:$O$9,0))="See Notes",'Property Tax Rates'!$D$3,INDEX('Property Tax Rates'!$G$14:$O$38,MATCH(K$7,'Property Tax Rates'!$U$14:$U$38,0),MATCH($AX12,'Property Tax Rates'!$G$9:$O$9,0)))</f>
        <v>1.8039265851459069E-2</v>
      </c>
      <c r="L12" s="382">
        <f>IF(INDEX('Property Tax Rates'!$G$14:$O$38,MATCH(L$7,'Property Tax Rates'!$U$14:$U$38,0),MATCH($AX12,'Property Tax Rates'!$G$9:$O$9,0))="See Notes",'Property Tax Rates'!$D$3,INDEX('Property Tax Rates'!$G$14:$O$38,MATCH(L$7,'Property Tax Rates'!$U$14:$U$38,0),MATCH($AX12,'Property Tax Rates'!$G$9:$O$9,0)))</f>
        <v>2.8243664285714287E-2</v>
      </c>
      <c r="M12" s="382">
        <f>IF(INDEX('Property Tax Rates'!$G$14:$O$38,MATCH(M$7,'Property Tax Rates'!$U$14:$U$38,0),MATCH($AX12,'Property Tax Rates'!$G$9:$O$9,0))="See Notes",'Property Tax Rates'!$D$3,INDEX('Property Tax Rates'!$G$14:$O$38,MATCH(M$7,'Property Tax Rates'!$U$14:$U$38,0),MATCH($AX12,'Property Tax Rates'!$G$9:$O$9,0)))</f>
        <v>3.8266404755656111E-2</v>
      </c>
      <c r="N12" s="382">
        <f>IF(INDEX('Property Tax Rates'!$G$14:$O$38,MATCH(N$7,'Property Tax Rates'!$U$14:$U$38,0),MATCH($AX12,'Property Tax Rates'!$G$9:$O$9,0))="See Notes",'Property Tax Rates'!$D$3,INDEX('Property Tax Rates'!$G$14:$O$38,MATCH(N$7,'Property Tax Rates'!$U$14:$U$38,0),MATCH($AX12,'Property Tax Rates'!$G$9:$O$9,0)))</f>
        <v>2.8149892820512824E-2</v>
      </c>
      <c r="O12" s="382"/>
      <c r="P12" s="1071"/>
      <c r="Q12" s="382"/>
      <c r="R12" s="1071"/>
      <c r="S12" s="1071"/>
      <c r="T12" s="1071"/>
      <c r="U12" s="335"/>
      <c r="V12" s="1332"/>
      <c r="W12" s="379"/>
      <c r="X12" s="379"/>
      <c r="Y12" s="378"/>
      <c r="Z12" s="333"/>
      <c r="AA12" s="333"/>
      <c r="AB12" s="333"/>
      <c r="AC12" s="333"/>
      <c r="AD12" s="333"/>
      <c r="AE12" s="334"/>
      <c r="AF12" s="334"/>
      <c r="AG12" s="334"/>
      <c r="AH12" s="334"/>
      <c r="AI12" s="334"/>
      <c r="AJ12" s="334"/>
      <c r="AK12" s="334"/>
      <c r="AL12" s="334"/>
      <c r="AM12" s="334"/>
      <c r="AN12" s="334"/>
      <c r="AO12" s="334"/>
      <c r="AP12" s="334"/>
      <c r="AQ12" s="334"/>
      <c r="AR12" s="334"/>
      <c r="AS12" s="334"/>
      <c r="AT12" s="334"/>
      <c r="AU12" s="334"/>
      <c r="AV12" s="334"/>
      <c r="AW12" s="340" t="s">
        <v>310</v>
      </c>
      <c r="AX12" s="1067" t="s">
        <v>331</v>
      </c>
      <c r="AY12" s="334"/>
      <c r="AZ12" s="334"/>
      <c r="BA12" s="334"/>
      <c r="BB12" s="334"/>
      <c r="BC12" s="334"/>
    </row>
    <row r="13" spans="1:55" s="348" customFormat="1" ht="15" customHeight="1" x14ac:dyDescent="0.35">
      <c r="A13" s="272">
        <f>MAX($A$12:A12)+1</f>
        <v>2</v>
      </c>
      <c r="B13" s="98"/>
      <c r="C13" s="98"/>
      <c r="D13" s="338" t="s">
        <v>343</v>
      </c>
      <c r="E13" s="326" t="s">
        <v>10</v>
      </c>
      <c r="F13" s="1428" t="str">
        <f>"["&amp;A13&amp;"]"</f>
        <v>[2]</v>
      </c>
      <c r="G13" s="326" t="str">
        <f>'Property Tax Rates'!$D$3</f>
        <v>Table C6</v>
      </c>
      <c r="H13" s="326"/>
      <c r="I13" s="382" t="str">
        <f>IF(INDEX('Property Tax Rates'!$G$14:$O$38,MATCH(I$7,'Property Tax Rates'!$U$14:$U$38,0),MATCH($AX13,'Property Tax Rates'!$G$9:$O$9,0))="See Notes",'Property Tax Rates'!$D$3,INDEX('Property Tax Rates'!$G$14:$O$38,MATCH(I$7,'Property Tax Rates'!$U$14:$U$38,0),MATCH($AX13,'Property Tax Rates'!$G$9:$O$9,0)))</f>
        <v>n/a</v>
      </c>
      <c r="J13" s="382">
        <f>IF(INDEX('Property Tax Rates'!$G$14:$O$38,MATCH(J$7,'Property Tax Rates'!$U$14:$U$38,0),MATCH($AX13,'Property Tax Rates'!$G$9:$O$9,0))="See Notes",'Property Tax Rates'!$D$3,INDEX('Property Tax Rates'!$G$14:$O$38,MATCH(J$7,'Property Tax Rates'!$U$14:$U$38,0),MATCH($AX13,'Property Tax Rates'!$G$9:$O$9,0)))</f>
        <v>1.3381250000000001E-2</v>
      </c>
      <c r="K13" s="382">
        <f>IF(INDEX('Property Tax Rates'!$G$14:$O$38,MATCH(K$7,'Property Tax Rates'!$U$14:$U$38,0),MATCH($AX13,'Property Tax Rates'!$G$9:$O$9,0))="See Notes",'Property Tax Rates'!$D$3,INDEX('Property Tax Rates'!$G$14:$O$38,MATCH(K$7,'Property Tax Rates'!$U$14:$U$38,0),MATCH($AX13,'Property Tax Rates'!$G$9:$O$9,0)))</f>
        <v>1.2369782298143362E-2</v>
      </c>
      <c r="L13" s="382" t="str">
        <f>IF(INDEX('Property Tax Rates'!$G$14:$O$38,MATCH(L$7,'Property Tax Rates'!$U$14:$U$38,0),MATCH($AX13,'Property Tax Rates'!$G$9:$O$9,0))="See Notes",'Property Tax Rates'!$D$3,INDEX('Property Tax Rates'!$G$14:$O$38,MATCH(L$7,'Property Tax Rates'!$U$14:$U$38,0),MATCH($AX13,'Property Tax Rates'!$G$9:$O$9,0)))</f>
        <v>n/a</v>
      </c>
      <c r="M13" s="382" t="str">
        <f>IF(INDEX('Property Tax Rates'!$G$14:$O$38,MATCH(M$7,'Property Tax Rates'!$U$14:$U$38,0),MATCH($AX13,'Property Tax Rates'!$G$9:$O$9,0))="See Notes",'Property Tax Rates'!$D$3,INDEX('Property Tax Rates'!$G$14:$O$38,MATCH(M$7,'Property Tax Rates'!$U$14:$U$38,0),MATCH($AX13,'Property Tax Rates'!$G$9:$O$9,0)))</f>
        <v>n/a</v>
      </c>
      <c r="N13" s="382" t="str">
        <f>IF(INDEX('Property Tax Rates'!$G$14:$O$38,MATCH(N$7,'Property Tax Rates'!$U$14:$U$38,0),MATCH($AX13,'Property Tax Rates'!$G$9:$O$9,0))="See Notes",'Property Tax Rates'!$D$3,INDEX('Property Tax Rates'!$G$14:$O$38,MATCH(N$7,'Property Tax Rates'!$U$14:$U$38,0),MATCH($AX13,'Property Tax Rates'!$G$9:$O$9,0)))</f>
        <v>n/a</v>
      </c>
      <c r="O13" s="382"/>
      <c r="P13" s="1071"/>
      <c r="Q13" s="382"/>
      <c r="R13" s="1071"/>
      <c r="S13" s="1071"/>
      <c r="T13" s="1071"/>
      <c r="U13" s="335"/>
      <c r="V13" s="1068"/>
      <c r="W13" s="378"/>
      <c r="X13" s="378"/>
      <c r="Y13" s="378"/>
      <c r="Z13" s="333"/>
      <c r="AA13" s="333"/>
      <c r="AB13" s="333"/>
      <c r="AC13" s="333"/>
      <c r="AD13" s="333"/>
      <c r="AE13" s="334"/>
      <c r="AF13" s="334"/>
      <c r="AG13" s="334"/>
      <c r="AH13" s="334"/>
      <c r="AI13" s="334"/>
      <c r="AJ13" s="334"/>
      <c r="AK13" s="334"/>
      <c r="AL13" s="334"/>
      <c r="AM13" s="334"/>
      <c r="AN13" s="334"/>
      <c r="AO13" s="334"/>
      <c r="AP13" s="334"/>
      <c r="AQ13" s="334"/>
      <c r="AR13" s="334"/>
      <c r="AS13" s="334"/>
      <c r="AT13" s="334"/>
      <c r="AU13" s="334"/>
      <c r="AV13" s="334"/>
      <c r="AW13" s="340" t="s">
        <v>310</v>
      </c>
      <c r="AX13" s="1331" t="s">
        <v>332</v>
      </c>
      <c r="AY13" s="334"/>
      <c r="AZ13" s="334"/>
      <c r="BA13" s="334"/>
      <c r="BB13" s="334"/>
      <c r="BC13" s="334"/>
    </row>
    <row r="14" spans="1:55" s="348" customFormat="1" ht="15" customHeight="1" x14ac:dyDescent="0.35">
      <c r="A14" s="272">
        <f>MAX($A$12:A13)+1</f>
        <v>3</v>
      </c>
      <c r="B14" s="98"/>
      <c r="C14" s="98"/>
      <c r="D14" s="338" t="s">
        <v>328</v>
      </c>
      <c r="E14" s="326" t="s">
        <v>10</v>
      </c>
      <c r="F14" s="1428" t="str">
        <f>"["&amp;A14&amp;"]"</f>
        <v>[3]</v>
      </c>
      <c r="G14" s="326" t="str">
        <f>'Property Tax Rates'!$D$3</f>
        <v>Table C6</v>
      </c>
      <c r="H14" s="326"/>
      <c r="I14" s="382" t="str">
        <f>IF(INDEX('Property Tax Rates'!$G$14:$O$38,MATCH(I$7,'Property Tax Rates'!$U$14:$U$38,0),MATCH($AX14,'Property Tax Rates'!$G$9:$O$9,0))="See Notes",'Property Tax Rates'!$D$3,INDEX('Property Tax Rates'!$G$14:$O$38,MATCH(I$7,'Property Tax Rates'!$U$14:$U$38,0),MATCH($AX14,'Property Tax Rates'!$G$9:$O$9,0)))</f>
        <v>n/a</v>
      </c>
      <c r="J14" s="382">
        <f>IF(INDEX('Property Tax Rates'!$G$14:$O$38,MATCH(J$7,'Property Tax Rates'!$U$14:$U$38,0),MATCH($AX14,'Property Tax Rates'!$G$9:$O$9,0))="See Notes",'Property Tax Rates'!$D$3,INDEX('Property Tax Rates'!$G$14:$O$38,MATCH(J$7,'Property Tax Rates'!$U$14:$U$38,0),MATCH($AX14,'Property Tax Rates'!$G$9:$O$9,0)))</f>
        <v>3.3000000000000002E-2</v>
      </c>
      <c r="K14" s="382" t="str">
        <f>IF(INDEX('Property Tax Rates'!$G$14:$O$38,MATCH(K$7,'Property Tax Rates'!$U$14:$U$38,0),MATCH($AX14,'Property Tax Rates'!$G$9:$O$9,0))="See Notes",'Property Tax Rates'!$D$3,INDEX('Property Tax Rates'!$G$14:$O$38,MATCH(K$7,'Property Tax Rates'!$U$14:$U$38,0),MATCH($AX14,'Property Tax Rates'!$G$9:$O$9,0)))</f>
        <v>Table C6</v>
      </c>
      <c r="L14" s="382" t="str">
        <f>IF(INDEX('Property Tax Rates'!$G$14:$O$38,MATCH(L$7,'Property Tax Rates'!$U$14:$U$38,0),MATCH($AX14,'Property Tax Rates'!$G$9:$O$9,0))="See Notes",'Property Tax Rates'!$D$3,INDEX('Property Tax Rates'!$G$14:$O$38,MATCH(L$7,'Property Tax Rates'!$U$14:$U$38,0),MATCH($AX14,'Property Tax Rates'!$G$9:$O$9,0)))</f>
        <v>n/a</v>
      </c>
      <c r="M14" s="382" t="str">
        <f>IF(INDEX('Property Tax Rates'!$G$14:$O$38,MATCH(M$7,'Property Tax Rates'!$U$14:$U$38,0),MATCH($AX14,'Property Tax Rates'!$G$9:$O$9,0))="See Notes",'Property Tax Rates'!$D$3,INDEX('Property Tax Rates'!$G$14:$O$38,MATCH(M$7,'Property Tax Rates'!$U$14:$U$38,0),MATCH($AX14,'Property Tax Rates'!$G$9:$O$9,0)))</f>
        <v>n/a</v>
      </c>
      <c r="N14" s="382" t="str">
        <f>IF(INDEX('Property Tax Rates'!$G$14:$O$38,MATCH(N$7,'Property Tax Rates'!$U$14:$U$38,0),MATCH($AX14,'Property Tax Rates'!$G$9:$O$9,0))="See Notes",'Property Tax Rates'!$D$3,INDEX('Property Tax Rates'!$G$14:$O$38,MATCH(N$7,'Property Tax Rates'!$U$14:$U$38,0),MATCH($AX14,'Property Tax Rates'!$G$9:$O$9,0)))</f>
        <v>n/a</v>
      </c>
      <c r="O14" s="382"/>
      <c r="P14" s="1071"/>
      <c r="Q14" s="382"/>
      <c r="R14" s="1071"/>
      <c r="S14" s="1071"/>
      <c r="T14" s="1071"/>
      <c r="U14" s="335"/>
      <c r="V14" s="1068"/>
      <c r="W14" s="378"/>
      <c r="X14" s="378"/>
      <c r="Y14" s="378"/>
      <c r="Z14" s="333"/>
      <c r="AA14" s="333"/>
      <c r="AB14" s="333"/>
      <c r="AC14" s="333"/>
      <c r="AD14" s="333"/>
      <c r="AE14" s="334"/>
      <c r="AF14" s="334"/>
      <c r="AG14" s="334"/>
      <c r="AH14" s="334"/>
      <c r="AI14" s="334"/>
      <c r="AJ14" s="334"/>
      <c r="AK14" s="334"/>
      <c r="AL14" s="334"/>
      <c r="AM14" s="334"/>
      <c r="AN14" s="334"/>
      <c r="AO14" s="334"/>
      <c r="AP14" s="334"/>
      <c r="AQ14" s="334"/>
      <c r="AR14" s="334"/>
      <c r="AS14" s="334"/>
      <c r="AT14" s="334"/>
      <c r="AU14" s="334"/>
      <c r="AV14" s="334"/>
      <c r="AW14" s="340" t="s">
        <v>272</v>
      </c>
      <c r="AX14" s="1067" t="s">
        <v>333</v>
      </c>
      <c r="AY14" s="334"/>
      <c r="AZ14" s="334"/>
      <c r="BA14" s="334"/>
      <c r="BB14" s="334"/>
      <c r="BC14" s="334"/>
    </row>
    <row r="15" spans="1:55" s="348" customFormat="1" ht="15" customHeight="1" x14ac:dyDescent="0.35">
      <c r="A15" s="272">
        <f>MAX($A$12:A14)+1</f>
        <v>4</v>
      </c>
      <c r="B15" s="313"/>
      <c r="C15" s="313"/>
      <c r="D15" s="338" t="s">
        <v>329</v>
      </c>
      <c r="E15" s="326" t="s">
        <v>10</v>
      </c>
      <c r="F15" s="1428" t="str">
        <f>"["&amp;A15&amp;"]"</f>
        <v>[4]</v>
      </c>
      <c r="G15" s="326" t="str">
        <f>'Property Tax Rates'!$D$3</f>
        <v>Table C6</v>
      </c>
      <c r="H15" s="326"/>
      <c r="I15" s="382" t="str">
        <f>IF(INDEX('Property Tax Rates'!$G$14:$O$38,MATCH(I$7,'Property Tax Rates'!$U$14:$U$38,0),MATCH($AX15,'Property Tax Rates'!$G$9:$O$9,0))="See Notes",'Property Tax Rates'!$D$3,INDEX('Property Tax Rates'!$G$14:$O$38,MATCH(I$7,'Property Tax Rates'!$U$14:$U$38,0),MATCH($AX15,'Property Tax Rates'!$G$9:$O$9,0)))</f>
        <v>n/a</v>
      </c>
      <c r="J15" s="382">
        <f>IF(INDEX('Property Tax Rates'!$G$14:$O$38,MATCH(J$7,'Property Tax Rates'!$U$14:$U$38,0),MATCH($AX15,'Property Tax Rates'!$G$9:$O$9,0))="See Notes",'Property Tax Rates'!$D$3,INDEX('Property Tax Rates'!$G$14:$O$38,MATCH(J$7,'Property Tax Rates'!$U$14:$U$38,0),MATCH($AX15,'Property Tax Rates'!$G$9:$O$9,0)))</f>
        <v>0.25</v>
      </c>
      <c r="K15" s="382" t="str">
        <f>IF(INDEX('Property Tax Rates'!$G$14:$O$38,MATCH(K$7,'Property Tax Rates'!$U$14:$U$38,0),MATCH($AX15,'Property Tax Rates'!$G$9:$O$9,0))="See Notes",'Property Tax Rates'!$D$3,INDEX('Property Tax Rates'!$G$14:$O$38,MATCH(K$7,'Property Tax Rates'!$U$14:$U$38,0),MATCH($AX15,'Property Tax Rates'!$G$9:$O$9,0)))</f>
        <v>n/a</v>
      </c>
      <c r="L15" s="382" t="str">
        <f>IF(INDEX('Property Tax Rates'!$G$14:$O$38,MATCH(L$7,'Property Tax Rates'!$U$14:$U$38,0),MATCH($AX15,'Property Tax Rates'!$G$9:$O$9,0))="See Notes",'Property Tax Rates'!$D$3,INDEX('Property Tax Rates'!$G$14:$O$38,MATCH(L$7,'Property Tax Rates'!$U$14:$U$38,0),MATCH($AX15,'Property Tax Rates'!$G$9:$O$9,0)))</f>
        <v>n/a</v>
      </c>
      <c r="M15" s="382" t="str">
        <f>IF(INDEX('Property Tax Rates'!$G$14:$O$38,MATCH(M$7,'Property Tax Rates'!$U$14:$U$38,0),MATCH($AX15,'Property Tax Rates'!$G$9:$O$9,0))="See Notes",'Property Tax Rates'!$D$3,INDEX('Property Tax Rates'!$G$14:$O$38,MATCH(M$7,'Property Tax Rates'!$U$14:$U$38,0),MATCH($AX15,'Property Tax Rates'!$G$9:$O$9,0)))</f>
        <v>n/a</v>
      </c>
      <c r="N15" s="382" t="str">
        <f>IF(INDEX('Property Tax Rates'!$G$14:$O$38,MATCH(N$7,'Property Tax Rates'!$U$14:$U$38,0),MATCH($AX15,'Property Tax Rates'!$G$9:$O$9,0))="See Notes",'Property Tax Rates'!$D$3,INDEX('Property Tax Rates'!$G$14:$O$38,MATCH(N$7,'Property Tax Rates'!$U$14:$U$38,0),MATCH($AX15,'Property Tax Rates'!$G$9:$O$9,0)))</f>
        <v>n/a</v>
      </c>
      <c r="O15" s="382"/>
      <c r="P15" s="1071"/>
      <c r="Q15" s="382"/>
      <c r="R15" s="1071"/>
      <c r="S15" s="1071"/>
      <c r="T15" s="1071"/>
      <c r="U15" s="335"/>
      <c r="V15" s="1069"/>
      <c r="W15" s="1069"/>
      <c r="X15" s="1069"/>
      <c r="Y15" s="1068"/>
      <c r="Z15" s="1070"/>
      <c r="AA15" s="1070"/>
      <c r="AB15" s="1070"/>
      <c r="AC15" s="1070"/>
      <c r="AD15" s="1070"/>
      <c r="AE15" s="335"/>
      <c r="AF15" s="335"/>
      <c r="AG15" s="335"/>
      <c r="AH15" s="335"/>
      <c r="AI15" s="335"/>
      <c r="AJ15" s="335"/>
      <c r="AK15" s="1071"/>
      <c r="AL15" s="1071"/>
      <c r="AM15" s="1071"/>
      <c r="AQ15" s="334"/>
      <c r="AR15" s="334"/>
      <c r="AS15" s="334"/>
      <c r="AT15" s="334"/>
      <c r="AU15" s="334"/>
      <c r="AV15" s="334"/>
      <c r="AW15" s="340" t="s">
        <v>329</v>
      </c>
      <c r="AX15" s="1067" t="s">
        <v>335</v>
      </c>
      <c r="AY15" s="334"/>
      <c r="AZ15" s="334"/>
      <c r="BA15" s="334"/>
      <c r="BB15" s="334"/>
      <c r="BC15" s="334"/>
    </row>
    <row r="16" spans="1:55" s="348" customFormat="1" ht="6" customHeight="1" x14ac:dyDescent="0.35">
      <c r="A16" s="272"/>
      <c r="B16" s="313"/>
      <c r="C16" s="313"/>
      <c r="D16" s="338"/>
      <c r="E16" s="326"/>
      <c r="F16" s="1428"/>
      <c r="G16" s="326"/>
      <c r="H16" s="326"/>
      <c r="I16" s="382"/>
      <c r="J16" s="382"/>
      <c r="K16" s="382"/>
      <c r="L16" s="382"/>
      <c r="M16" s="382"/>
      <c r="N16" s="382"/>
      <c r="O16" s="382"/>
      <c r="P16" s="1071"/>
      <c r="Q16" s="382"/>
      <c r="R16" s="1071"/>
      <c r="S16" s="1071"/>
      <c r="T16" s="1071"/>
      <c r="U16" s="335"/>
      <c r="V16" s="1069"/>
      <c r="W16" s="1069"/>
      <c r="X16" s="1069"/>
      <c r="Y16" s="1068"/>
      <c r="Z16" s="1070"/>
      <c r="AA16" s="1070"/>
      <c r="AB16" s="1070"/>
      <c r="AC16" s="1070"/>
      <c r="AD16" s="1070"/>
      <c r="AE16" s="335"/>
      <c r="AF16" s="335"/>
      <c r="AG16" s="335"/>
      <c r="AH16" s="335"/>
      <c r="AI16" s="335"/>
      <c r="AJ16" s="335"/>
      <c r="AK16" s="1071"/>
      <c r="AL16" s="1071"/>
      <c r="AM16" s="1071"/>
      <c r="AQ16" s="334"/>
      <c r="AR16" s="334"/>
      <c r="AS16" s="334"/>
      <c r="AT16" s="334"/>
      <c r="AU16" s="334"/>
      <c r="AV16" s="334"/>
      <c r="AW16" s="340"/>
      <c r="AX16" s="1067"/>
      <c r="AY16" s="334"/>
      <c r="AZ16" s="334"/>
      <c r="BA16" s="334"/>
      <c r="BB16" s="334"/>
      <c r="BC16" s="334"/>
    </row>
    <row r="17" spans="1:58" s="334" customFormat="1" ht="15" customHeight="1" x14ac:dyDescent="0.35">
      <c r="A17" s="272"/>
      <c r="B17" s="313"/>
      <c r="C17" s="313"/>
      <c r="D17" s="1141" t="s">
        <v>590</v>
      </c>
      <c r="E17" s="326"/>
      <c r="F17" s="1428"/>
      <c r="G17" s="326"/>
      <c r="H17" s="326"/>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48"/>
      <c r="AM17" s="274"/>
      <c r="AN17" s="1069"/>
      <c r="AO17" s="1069"/>
      <c r="AP17" s="1068"/>
      <c r="AQ17" s="1070"/>
      <c r="AR17" s="1070"/>
      <c r="AS17" s="1070"/>
      <c r="AT17" s="1070"/>
      <c r="AU17" s="1070"/>
      <c r="AV17" s="1070"/>
      <c r="AW17" s="1674"/>
      <c r="AX17" s="1062"/>
      <c r="AY17" s="335"/>
      <c r="AZ17" s="335"/>
      <c r="BA17" s="335"/>
      <c r="BB17" s="335"/>
      <c r="BC17" s="335"/>
      <c r="BD17" s="335"/>
      <c r="BE17" s="335"/>
      <c r="BF17" s="335"/>
    </row>
    <row r="18" spans="1:58" s="334" customFormat="1" ht="15" customHeight="1" x14ac:dyDescent="0.35">
      <c r="A18" s="272">
        <f>MAX($A$12:A17)+1</f>
        <v>5</v>
      </c>
      <c r="B18" s="313"/>
      <c r="C18" s="313"/>
      <c r="D18" s="338" t="s">
        <v>281</v>
      </c>
      <c r="E18" s="326" t="str">
        <f>YEAR(Control!$H$19)&amp;"$"</f>
        <v>2028$</v>
      </c>
      <c r="F18" s="1428" t="str">
        <f>"["&amp;A18&amp;"]"</f>
        <v>[5]</v>
      </c>
      <c r="G18" s="326" t="str">
        <f>'CT Capital Costs'!$D$3</f>
        <v>Table B6</v>
      </c>
      <c r="H18" s="326"/>
      <c r="I18" s="1194" cm="1">
        <f t="array" ref="I18">SUMPRODUCT(('CT Capital Costs'!$R$42:$V$71)*('CT Capital Costs'!$AB$42:$AB$71="Real")*('CT Capital Costs'!$R$32:$V$32=I$8))</f>
        <v>15890787.315944796</v>
      </c>
      <c r="J18" s="1194" cm="1">
        <f t="array" ref="J18">SUMPRODUCT(('CT Capital Costs'!$R$42:$V$71)*('CT Capital Costs'!$AB$42:$AB$71="Real")*('CT Capital Costs'!$R$32:$V$32=J$8))</f>
        <v>15826731.81265231</v>
      </c>
      <c r="K18" s="1194" cm="1">
        <f t="array" ref="K18">SUMPRODUCT(('CT Capital Costs'!$R$42:$V$71)*('CT Capital Costs'!$AB$42:$AB$71="Real")*('CT Capital Costs'!$R$32:$V$32=K$8))</f>
        <v>15240308.219563814</v>
      </c>
      <c r="L18" s="1194" cm="1">
        <f t="array" ref="L18">SUMPRODUCT(('CT Capital Costs'!$R$42:$V$71)*('CT Capital Costs'!$AB$42:$AB$71="Real")*('CT Capital Costs'!$R$32:$V$32=L$8))</f>
        <v>15240308.219563814</v>
      </c>
      <c r="M18" s="1194" cm="1">
        <f t="array" ref="M18">SUMPRODUCT(('CT Capital Costs'!$R$42:$V$71)*('CT Capital Costs'!$AB$42:$AB$71="Real")*('CT Capital Costs'!$R$32:$V$32=M$8))</f>
        <v>15740898.808067683</v>
      </c>
      <c r="N18" s="1194" cm="1">
        <f t="array" ref="N18">SUMPRODUCT(('CT Capital Costs'!$R$42:$V$71)*('CT Capital Costs'!$AB$42:$AB$71="Real")*('CT Capital Costs'!$R$32:$V$32=N$8))</f>
        <v>16009004.898196269</v>
      </c>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48"/>
      <c r="AM18" s="274"/>
      <c r="AN18" s="1069"/>
      <c r="AO18" s="1069"/>
      <c r="AP18" s="1068"/>
      <c r="AQ18" s="1070"/>
      <c r="AR18" s="1070"/>
      <c r="AS18" s="1070"/>
      <c r="AT18" s="1070"/>
      <c r="AU18" s="1070"/>
      <c r="AV18" s="1070"/>
      <c r="AW18" s="1674"/>
      <c r="AX18" s="1062"/>
      <c r="AY18" s="335"/>
      <c r="AZ18" s="335"/>
      <c r="BA18" s="335"/>
      <c r="BB18" s="335"/>
      <c r="BC18" s="335"/>
      <c r="BD18" s="335"/>
      <c r="BE18" s="335"/>
      <c r="BF18" s="335"/>
    </row>
    <row r="19" spans="1:58" s="334" customFormat="1" ht="15" customHeight="1" x14ac:dyDescent="0.35">
      <c r="A19" s="272">
        <f>MAX($A$12:A18)+1</f>
        <v>6</v>
      </c>
      <c r="B19" s="313"/>
      <c r="C19" s="313"/>
      <c r="D19" s="338" t="s">
        <v>283</v>
      </c>
      <c r="E19" s="326" t="str">
        <f>YEAR(Control!$H$19)&amp;"$"</f>
        <v>2028$</v>
      </c>
      <c r="F19" s="1428" t="str">
        <f>"["&amp;A19&amp;"]"</f>
        <v>[6]</v>
      </c>
      <c r="G19" s="326" t="str">
        <f>'CC Capital Costs'!$D$3</f>
        <v>Table B7</v>
      </c>
      <c r="H19" s="326"/>
      <c r="I19" s="1194" cm="1">
        <f t="array" ref="I19">SUMPRODUCT('CC Capital Costs'!$R$41:$V$71*('CC Capital Costs'!$R$32:$V$32=I$8)*('CC Capital Costs'!$AB$41:$AB$71="Real"))</f>
        <v>108860333.14641972</v>
      </c>
      <c r="J19" s="1194" cm="1">
        <f t="array" ref="J19">SUMPRODUCT('CC Capital Costs'!$R$41:$V$71*('CC Capital Costs'!$R$32:$V$32=J$8)*('CC Capital Costs'!$AB$41:$AB$71="Real"))</f>
        <v>108480292.55805822</v>
      </c>
      <c r="K19" s="1194" cm="1">
        <f t="array" ref="K19">SUMPRODUCT('CC Capital Costs'!$R$41:$V$71*('CC Capital Costs'!$R$32:$V$32=K$8)*('CC Capital Costs'!$AB$41:$AB$71="Real"))</f>
        <v>105001047.9047333</v>
      </c>
      <c r="L19" s="1194" cm="1">
        <f t="array" ref="L19">SUMPRODUCT('CC Capital Costs'!$R$41:$V$71*('CC Capital Costs'!$R$32:$V$32=L$8)*('CC Capital Costs'!$AB$41:$AB$71="Real"))</f>
        <v>105001047.9047333</v>
      </c>
      <c r="M19" s="1194" cm="1">
        <f t="array" ref="M19">SUMPRODUCT('CC Capital Costs'!$R$41:$V$71*('CC Capital Costs'!$R$32:$V$32=M$8)*('CC Capital Costs'!$AB$41:$AB$71="Real"))</f>
        <v>107971046.29682395</v>
      </c>
      <c r="N19" s="1194" cm="1">
        <f t="array" ref="N19">SUMPRODUCT('CC Capital Costs'!$R$41:$V$71*('CC Capital Costs'!$R$32:$V$32=N$8)*('CC Capital Costs'!$AB$41:$AB$71="Real"))</f>
        <v>109561716.74664496</v>
      </c>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48"/>
      <c r="AM19" s="274"/>
      <c r="AN19" s="1069"/>
      <c r="AO19" s="1069"/>
      <c r="AP19" s="1068"/>
      <c r="AQ19" s="1070"/>
      <c r="AR19" s="1070"/>
      <c r="AS19" s="1070"/>
      <c r="AT19" s="1070"/>
      <c r="AU19" s="1070"/>
      <c r="AV19" s="1070"/>
      <c r="AW19" s="1674"/>
      <c r="AX19" s="1062"/>
      <c r="AY19" s="335"/>
      <c r="AZ19" s="335"/>
      <c r="BA19" s="335"/>
      <c r="BB19" s="335"/>
      <c r="BC19" s="335"/>
      <c r="BD19" s="335"/>
      <c r="BE19" s="335"/>
      <c r="BF19" s="335"/>
    </row>
    <row r="20" spans="1:58" s="334" customFormat="1" ht="15" customHeight="1" x14ac:dyDescent="0.35">
      <c r="A20" s="272">
        <f>MAX($A$12:A19)+1</f>
        <v>7</v>
      </c>
      <c r="B20" s="313"/>
      <c r="C20" s="313"/>
      <c r="D20" s="338" t="s">
        <v>282</v>
      </c>
      <c r="E20" s="326" t="str">
        <f>YEAR(Control!$H$19)&amp;"$"</f>
        <v>2028$</v>
      </c>
      <c r="F20" s="1428" t="str">
        <f>"["&amp;A20&amp;"]"</f>
        <v>[7]</v>
      </c>
      <c r="G20" s="326" t="str">
        <f>'BESS Capital Costs'!$D$3</f>
        <v>Table B8</v>
      </c>
      <c r="H20" s="326"/>
      <c r="I20" s="1194" cm="1">
        <f t="array" ref="I20">SUMPRODUCT('BESS Capital Costs'!$R$42:$V$56*('BESS Capital Costs'!$R$32:$V$32=I$8)*('BESS Capital Costs'!$AB$42:$AB$56="Real"))</f>
        <v>77077489.599469498</v>
      </c>
      <c r="J20" s="1194" cm="1">
        <f t="array" ref="J20">SUMPRODUCT('BESS Capital Costs'!$R$42:$V$56*('BESS Capital Costs'!$R$32:$V$32=J$8)*('BESS Capital Costs'!$AB$42:$AB$56="Real"))</f>
        <v>62769534.454525217</v>
      </c>
      <c r="K20" s="1194" cm="1">
        <f t="array" ref="K20">SUMPRODUCT('BESS Capital Costs'!$R$42:$V$56*('BESS Capital Costs'!$R$32:$V$32=K$8)*('BESS Capital Costs'!$AB$42:$AB$56="Real"))</f>
        <v>62188613.217510737</v>
      </c>
      <c r="L20" s="1194" cm="1">
        <f t="array" ref="L20">SUMPRODUCT('BESS Capital Costs'!$R$42:$V$56*('BESS Capital Costs'!$R$32:$V$32=L$8)*('BESS Capital Costs'!$AB$42:$AB$56="Real"))</f>
        <v>62188613.217510737</v>
      </c>
      <c r="M20" s="1194" cm="1">
        <f t="array" ref="M20">SUMPRODUCT('BESS Capital Costs'!$R$42:$V$56*('BESS Capital Costs'!$R$32:$V$32=M$8)*('BESS Capital Costs'!$AB$42:$AB$56="Real"))</f>
        <v>68360694.87969172</v>
      </c>
      <c r="N20" s="1194" cm="1">
        <f t="array" ref="N20">SUMPRODUCT('BESS Capital Costs'!$R$42:$V$56*('BESS Capital Costs'!$R$32:$V$32=N$8)*('BESS Capital Costs'!$AB$42:$AB$56="Real"))</f>
        <v>89785932.365276977</v>
      </c>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48"/>
      <c r="AM20" s="274"/>
      <c r="AN20" s="1069"/>
      <c r="AO20" s="1069"/>
      <c r="AP20" s="1068"/>
      <c r="AQ20" s="1070"/>
      <c r="AR20" s="1070"/>
      <c r="AS20" s="1070"/>
      <c r="AT20" s="1070"/>
      <c r="AU20" s="1070"/>
      <c r="AV20" s="1070"/>
      <c r="AW20" s="1674"/>
      <c r="AX20" s="1062"/>
      <c r="AY20" s="335"/>
      <c r="AZ20" s="335"/>
      <c r="BA20" s="335"/>
      <c r="BB20" s="335"/>
      <c r="BC20" s="335"/>
      <c r="BD20" s="335"/>
      <c r="BE20" s="335"/>
      <c r="BF20" s="335"/>
    </row>
    <row r="21" spans="1:58" s="334" customFormat="1" ht="15" customHeight="1" x14ac:dyDescent="0.35">
      <c r="A21" s="272"/>
      <c r="B21" s="313"/>
      <c r="C21" s="313"/>
      <c r="D21" s="1141" t="s">
        <v>591</v>
      </c>
      <c r="E21" s="326"/>
      <c r="F21" s="1428"/>
      <c r="G21" s="326"/>
      <c r="H21" s="326"/>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48"/>
      <c r="AM21" s="274"/>
      <c r="AN21" s="1069"/>
      <c r="AO21" s="1069"/>
      <c r="AP21" s="1068"/>
      <c r="AQ21" s="1070"/>
      <c r="AR21" s="1070"/>
      <c r="AS21" s="1070"/>
      <c r="AT21" s="1070"/>
      <c r="AU21" s="1070"/>
      <c r="AV21" s="1070"/>
      <c r="AW21" s="1674"/>
      <c r="AX21" s="1062"/>
      <c r="AY21" s="335"/>
      <c r="AZ21" s="335"/>
      <c r="BA21" s="335"/>
      <c r="BB21" s="335"/>
      <c r="BC21" s="335"/>
      <c r="BD21" s="335"/>
      <c r="BE21" s="335"/>
      <c r="BF21" s="335"/>
    </row>
    <row r="22" spans="1:58" s="334" customFormat="1" ht="15" customHeight="1" x14ac:dyDescent="0.35">
      <c r="A22" s="272">
        <f>MAX($A$12:A21)+1</f>
        <v>8</v>
      </c>
      <c r="B22" s="313"/>
      <c r="C22" s="313"/>
      <c r="D22" s="338" t="s">
        <v>281</v>
      </c>
      <c r="E22" s="326" t="str">
        <f>YEAR(Control!$H$19)&amp;"$"</f>
        <v>2028$</v>
      </c>
      <c r="F22" s="1428" t="str">
        <f>"["&amp;A22&amp;"]"</f>
        <v>[8]</v>
      </c>
      <c r="G22" s="326" t="str">
        <f>'CT Capital Costs'!$D$3</f>
        <v>Table B6</v>
      </c>
      <c r="H22" s="326"/>
      <c r="I22" s="1194" cm="1">
        <f t="array" ref="I22">SUMPRODUCT(('CT Capital Costs'!$R$42:$V$71)*('CT Capital Costs'!$AB$42:$AB$71="Personal")*('CT Capital Costs'!$R$32:$V$32=I$8))</f>
        <v>518900820.44898015</v>
      </c>
      <c r="J22" s="1194" cm="1">
        <f t="array" ref="J22">SUMPRODUCT(('CT Capital Costs'!$R$42:$V$71)*('CT Capital Costs'!$AB$42:$AB$71="Personal")*('CT Capital Costs'!$R$32:$V$32=J$8))</f>
        <v>501214013.29869831</v>
      </c>
      <c r="K22" s="1194" cm="1">
        <f t="array" ref="K22">SUMPRODUCT(('CT Capital Costs'!$R$42:$V$71)*('CT Capital Costs'!$AB$42:$AB$71="Personal")*('CT Capital Costs'!$R$32:$V$32=K$8))</f>
        <v>499692339.67520887</v>
      </c>
      <c r="L22" s="1194" cm="1">
        <f t="array" ref="L22">SUMPRODUCT(('CT Capital Costs'!$R$42:$V$71)*('CT Capital Costs'!$AB$42:$AB$71="Personal")*('CT Capital Costs'!$R$32:$V$32=L$8))</f>
        <v>499692339.67520887</v>
      </c>
      <c r="M22" s="1194" cm="1">
        <f t="array" ref="M22">SUMPRODUCT(('CT Capital Costs'!$R$42:$V$71)*('CT Capital Costs'!$AB$42:$AB$71="Personal")*('CT Capital Costs'!$R$32:$V$32=M$8))</f>
        <v>505106894.07082909</v>
      </c>
      <c r="N22" s="1194" cm="1">
        <f t="array" ref="N22">SUMPRODUCT(('CT Capital Costs'!$R$42:$V$71)*('CT Capital Costs'!$AB$42:$AB$71="Personal")*('CT Capital Costs'!$R$32:$V$32=N$8))</f>
        <v>558254817.90421259</v>
      </c>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48"/>
      <c r="AM22" s="274"/>
      <c r="AN22" s="1069"/>
      <c r="AO22" s="1069"/>
      <c r="AP22" s="1068"/>
      <c r="AQ22" s="1070"/>
      <c r="AR22" s="1070"/>
      <c r="AS22" s="1070"/>
      <c r="AT22" s="1070"/>
      <c r="AU22" s="1070"/>
      <c r="AV22" s="1070"/>
      <c r="AW22" s="1674"/>
      <c r="AX22" s="1062"/>
      <c r="AY22" s="335"/>
      <c r="AZ22" s="335"/>
      <c r="BA22" s="335"/>
      <c r="BB22" s="335"/>
      <c r="BC22" s="335"/>
      <c r="BD22" s="335"/>
      <c r="BE22" s="335"/>
      <c r="BF22" s="335"/>
    </row>
    <row r="23" spans="1:58" s="334" customFormat="1" ht="15" customHeight="1" x14ac:dyDescent="0.35">
      <c r="A23" s="272">
        <f>MAX($A$12:A22)+1</f>
        <v>9</v>
      </c>
      <c r="B23" s="313"/>
      <c r="C23" s="313"/>
      <c r="D23" s="338" t="s">
        <v>283</v>
      </c>
      <c r="E23" s="326" t="str">
        <f>YEAR(Control!$H$19)&amp;"$"</f>
        <v>2028$</v>
      </c>
      <c r="F23" s="1428" t="str">
        <f>"["&amp;A23&amp;"]"</f>
        <v>[9]</v>
      </c>
      <c r="G23" s="326" t="str">
        <f>'CC Capital Costs'!$D$3</f>
        <v>Table B7</v>
      </c>
      <c r="H23" s="326"/>
      <c r="I23" s="1194" cm="1">
        <f t="array" ref="I23">SUMPRODUCT('CC Capital Costs'!$R$41:$V$71*('CC Capital Costs'!$R$32:$V$32=I$8)*('CC Capital Costs'!$AB$41:$AB$71="Personal"))</f>
        <v>1802859614.6103396</v>
      </c>
      <c r="J23" s="1194" cm="1">
        <f t="array" ref="J23">SUMPRODUCT('CC Capital Costs'!$R$41:$V$71*('CC Capital Costs'!$R$32:$V$32=J$8)*('CC Capital Costs'!$AB$41:$AB$71="Personal"))</f>
        <v>1669743645.7040389</v>
      </c>
      <c r="K23" s="1194" cm="1">
        <f t="array" ref="K23">SUMPRODUCT('CC Capital Costs'!$R$41:$V$71*('CC Capital Costs'!$R$32:$V$32=K$8)*('CC Capital Costs'!$AB$41:$AB$71="Personal"))</f>
        <v>1665079699.8640823</v>
      </c>
      <c r="L23" s="1194" cm="1">
        <f t="array" ref="L23">SUMPRODUCT('CC Capital Costs'!$R$41:$V$71*('CC Capital Costs'!$R$32:$V$32=L$8)*('CC Capital Costs'!$AB$41:$AB$71="Personal"))</f>
        <v>1665079699.8640823</v>
      </c>
      <c r="M23" s="1194" cm="1">
        <f t="array" ref="M23">SUMPRODUCT('CC Capital Costs'!$R$41:$V$71*('CC Capital Costs'!$R$32:$V$32=M$8)*('CC Capital Costs'!$AB$41:$AB$71="Personal"))</f>
        <v>1714111912.7865267</v>
      </c>
      <c r="N23" s="1194" cm="1">
        <f t="array" ref="N23">SUMPRODUCT('CC Capital Costs'!$R$41:$V$71*('CC Capital Costs'!$R$32:$V$32=N$8)*('CC Capital Costs'!$AB$41:$AB$71="Personal"))</f>
        <v>1975633644.719043</v>
      </c>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48"/>
      <c r="AM23" s="274"/>
      <c r="AN23" s="1069"/>
      <c r="AO23" s="1069"/>
      <c r="AP23" s="1068"/>
      <c r="AQ23" s="1070"/>
      <c r="AR23" s="1070"/>
      <c r="AS23" s="1070"/>
      <c r="AT23" s="1070"/>
      <c r="AU23" s="1070"/>
      <c r="AV23" s="1070"/>
      <c r="AW23" s="1674"/>
      <c r="AX23" s="1062"/>
      <c r="AY23" s="335"/>
      <c r="AZ23" s="335"/>
      <c r="BA23" s="335"/>
      <c r="BB23" s="335"/>
      <c r="BC23" s="335"/>
      <c r="BD23" s="335"/>
      <c r="BE23" s="335"/>
      <c r="BF23" s="335"/>
    </row>
    <row r="24" spans="1:58" s="334" customFormat="1" ht="15" customHeight="1" x14ac:dyDescent="0.35">
      <c r="A24" s="272">
        <f>MAX($A$12:A23)+1</f>
        <v>10</v>
      </c>
      <c r="B24" s="313"/>
      <c r="C24" s="313"/>
      <c r="D24" s="338" t="s">
        <v>282</v>
      </c>
      <c r="E24" s="326" t="str">
        <f>YEAR(Control!$H$19)&amp;"$"</f>
        <v>2028$</v>
      </c>
      <c r="F24" s="1428" t="str">
        <f>"["&amp;A24&amp;"]"</f>
        <v>[10]</v>
      </c>
      <c r="G24" s="326" t="str">
        <f>'BESS Capital Costs'!$D$3</f>
        <v>Table B8</v>
      </c>
      <c r="H24" s="326"/>
      <c r="I24" s="1194" cm="1">
        <f t="array" ref="I24">SUMPRODUCT('BESS Capital Costs'!$R$42:$V$56*('BESS Capital Costs'!$R$32:$V$32=I$8)*('BESS Capital Costs'!$AB$42:$AB$56="Personal"))</f>
        <v>289417766.40532678</v>
      </c>
      <c r="J24" s="1194" cm="1">
        <f t="array" ref="J24">SUMPRODUCT('BESS Capital Costs'!$R$42:$V$56*('BESS Capital Costs'!$R$32:$V$32=J$8)*('BESS Capital Costs'!$AB$42:$AB$56="Personal"))</f>
        <v>287922104.43196821</v>
      </c>
      <c r="K24" s="1194" cm="1">
        <f t="array" ref="K24">SUMPRODUCT('BESS Capital Costs'!$R$42:$V$56*('BESS Capital Costs'!$R$32:$V$32=K$8)*('BESS Capital Costs'!$AB$42:$AB$56="Personal"))</f>
        <v>287908639.07601988</v>
      </c>
      <c r="L24" s="1194" cm="1">
        <f t="array" ref="L24">SUMPRODUCT('BESS Capital Costs'!$R$42:$V$56*('BESS Capital Costs'!$R$32:$V$32=L$8)*('BESS Capital Costs'!$AB$42:$AB$56="Personal"))</f>
        <v>287908639.07601988</v>
      </c>
      <c r="M24" s="1194" cm="1">
        <f t="array" ref="M24">SUMPRODUCT('BESS Capital Costs'!$R$42:$V$56*('BESS Capital Costs'!$R$32:$V$32=M$8)*('BESS Capital Costs'!$AB$42:$AB$56="Personal"))</f>
        <v>288515542.97300327</v>
      </c>
      <c r="N24" s="1194" cm="1">
        <f t="array" ref="N24">SUMPRODUCT('BESS Capital Costs'!$R$42:$V$56*('BESS Capital Costs'!$R$32:$V$32=N$8)*('BESS Capital Costs'!$AB$42:$AB$56="Personal"))</f>
        <v>306162790.42088461</v>
      </c>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48"/>
      <c r="AM24" s="274"/>
      <c r="AN24" s="1069"/>
      <c r="AO24" s="1069"/>
      <c r="AP24" s="1068"/>
      <c r="AQ24" s="1070"/>
      <c r="AR24" s="1070"/>
      <c r="AS24" s="1070"/>
      <c r="AT24" s="1070"/>
      <c r="AU24" s="1070"/>
      <c r="AV24" s="1070"/>
      <c r="AW24" s="1674"/>
      <c r="AX24" s="1062"/>
      <c r="AY24" s="335"/>
      <c r="AZ24" s="335"/>
      <c r="BA24" s="335"/>
      <c r="BB24" s="335"/>
      <c r="BC24" s="335"/>
      <c r="BD24" s="335"/>
      <c r="BE24" s="335"/>
      <c r="BF24" s="335"/>
    </row>
    <row r="25" spans="1:58" s="334" customFormat="1" ht="6" customHeight="1" x14ac:dyDescent="0.35">
      <c r="A25" s="272"/>
      <c r="B25" s="313"/>
      <c r="C25" s="313"/>
      <c r="D25" s="1669"/>
      <c r="E25" s="1670"/>
      <c r="F25" s="1723"/>
      <c r="G25" s="1670"/>
      <c r="H25" s="1670"/>
      <c r="I25" s="1671"/>
      <c r="J25" s="1671"/>
      <c r="K25" s="1671"/>
      <c r="L25" s="1671"/>
      <c r="M25" s="1671"/>
      <c r="N25" s="1671"/>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181"/>
      <c r="AM25" s="1680"/>
      <c r="AN25" s="1681"/>
      <c r="AO25" s="1681"/>
      <c r="AP25" s="1682"/>
      <c r="AQ25" s="1683"/>
      <c r="AR25" s="1683"/>
      <c r="AS25" s="1683"/>
      <c r="AT25" s="1678"/>
      <c r="AU25" s="1678"/>
      <c r="AV25" s="1070"/>
      <c r="AW25" s="1674"/>
      <c r="AX25" s="1062"/>
      <c r="AY25" s="335"/>
      <c r="AZ25" s="335"/>
      <c r="BA25" s="335"/>
      <c r="BB25" s="335"/>
      <c r="BC25" s="335"/>
      <c r="BD25" s="335"/>
      <c r="BE25" s="335"/>
      <c r="BF25" s="335"/>
    </row>
    <row r="26" spans="1:58" s="313" customFormat="1" ht="6" customHeight="1" x14ac:dyDescent="0.35">
      <c r="D26" s="1672"/>
      <c r="E26" s="1673"/>
      <c r="F26" s="1715"/>
      <c r="G26" s="1673"/>
      <c r="H26" s="1673"/>
      <c r="I26" s="1673"/>
      <c r="J26" s="1673"/>
      <c r="K26" s="1673"/>
      <c r="L26" s="1673"/>
      <c r="M26" s="1673"/>
      <c r="N26" s="1673"/>
      <c r="O26" s="1673"/>
      <c r="P26" s="1673"/>
      <c r="Q26" s="1673"/>
      <c r="R26" s="1673"/>
      <c r="S26" s="1673"/>
      <c r="T26" s="1673"/>
      <c r="U26" s="1684"/>
      <c r="V26" s="1673"/>
      <c r="W26" s="1673"/>
      <c r="X26" s="1673"/>
      <c r="Y26" s="1673"/>
      <c r="Z26" s="1673"/>
      <c r="AA26" s="1673"/>
      <c r="AB26" s="1673"/>
      <c r="AC26" s="1673"/>
      <c r="AD26" s="1673"/>
      <c r="AE26" s="1673"/>
      <c r="AF26" s="1673"/>
      <c r="AG26" s="1673"/>
      <c r="AH26" s="1684"/>
      <c r="AI26" s="1673"/>
      <c r="AJ26" s="1673"/>
      <c r="AK26" s="1673"/>
      <c r="AL26" s="1673"/>
      <c r="AM26" s="1673"/>
      <c r="AN26" s="1673"/>
      <c r="AO26" s="1673"/>
      <c r="AP26" s="1673"/>
      <c r="AQ26" s="1673"/>
      <c r="AR26" s="1673"/>
      <c r="AS26" s="1673"/>
      <c r="AT26" s="1668"/>
      <c r="AU26" s="1668"/>
      <c r="AV26" s="1071"/>
      <c r="AW26" s="214"/>
      <c r="AX26" s="214"/>
      <c r="AY26" s="1071"/>
      <c r="AZ26" s="1071"/>
      <c r="BA26" s="1071"/>
      <c r="BB26" s="1071"/>
    </row>
    <row r="27" spans="1:58" s="1066" customFormat="1" ht="15" hidden="1" customHeight="1" outlineLevel="1" x14ac:dyDescent="0.35">
      <c r="C27" s="2091"/>
      <c r="D27" s="2090" t="s">
        <v>269</v>
      </c>
      <c r="E27" s="1713"/>
      <c r="F27" s="1724"/>
      <c r="G27" s="1713"/>
      <c r="H27" s="1713"/>
      <c r="I27" s="1713" t="str">
        <f>IF(I28&lt;&gt;"",$I$29&amp;"_"&amp;I28,"")</f>
        <v>CT_EMAAC</v>
      </c>
      <c r="J27" s="1713" t="str">
        <f t="shared" ref="J27:S27" si="0">IF(J28&lt;&gt;"",$I$29&amp;"_"&amp;J28,"")</f>
        <v/>
      </c>
      <c r="K27" s="1713" t="str">
        <f t="shared" si="0"/>
        <v/>
      </c>
      <c r="L27" s="1713" t="str">
        <f t="shared" si="0"/>
        <v>CT_SWMAAC</v>
      </c>
      <c r="M27" s="1713" t="str">
        <f t="shared" si="0"/>
        <v/>
      </c>
      <c r="N27" s="1713" t="str">
        <f t="shared" si="0"/>
        <v/>
      </c>
      <c r="O27" s="1713" t="str">
        <f t="shared" si="0"/>
        <v/>
      </c>
      <c r="P27" s="1713" t="str">
        <f t="shared" si="0"/>
        <v/>
      </c>
      <c r="Q27" s="1713" t="str">
        <f t="shared" si="0"/>
        <v>CT_Rest of RTO</v>
      </c>
      <c r="R27" s="1713" t="str">
        <f t="shared" si="0"/>
        <v>CT_WMAAC</v>
      </c>
      <c r="S27" s="1713" t="str">
        <f t="shared" si="0"/>
        <v>CT_COMED</v>
      </c>
      <c r="T27" s="1713"/>
      <c r="U27" s="1713"/>
      <c r="V27" s="1713" t="str">
        <f>IF(V28&lt;&gt;"",$V$29&amp;"_"&amp;V28,"")</f>
        <v>CC_EMAAC</v>
      </c>
      <c r="W27" s="1713" t="str">
        <f t="shared" ref="W27:AG27" si="1">IF(W28&lt;&gt;"",$V$29&amp;"_"&amp;W28,"")</f>
        <v/>
      </c>
      <c r="X27" s="1713" t="str">
        <f t="shared" si="1"/>
        <v/>
      </c>
      <c r="Y27" s="1713" t="str">
        <f t="shared" si="1"/>
        <v>CC_SWMAAC</v>
      </c>
      <c r="Z27" s="1713" t="str">
        <f t="shared" si="1"/>
        <v/>
      </c>
      <c r="AA27" s="1713" t="str">
        <f t="shared" si="1"/>
        <v/>
      </c>
      <c r="AB27" s="1713" t="str">
        <f t="shared" si="1"/>
        <v/>
      </c>
      <c r="AC27" s="1713" t="str">
        <f t="shared" si="1"/>
        <v/>
      </c>
      <c r="AD27" s="1713" t="str">
        <f t="shared" si="1"/>
        <v>CC_Rest of RTO</v>
      </c>
      <c r="AE27" s="1713" t="str">
        <f t="shared" si="1"/>
        <v>CC_WMAAC</v>
      </c>
      <c r="AF27" s="1713" t="str">
        <f t="shared" si="1"/>
        <v>CC_COMED</v>
      </c>
      <c r="AG27" s="1713" t="str">
        <f t="shared" si="1"/>
        <v/>
      </c>
      <c r="AH27" s="1713"/>
      <c r="AI27" s="1713" t="str">
        <f>IF(AI28&lt;&gt;"",$AI$29&amp;"_"&amp;AI28,"")</f>
        <v>BESS_EMAAC</v>
      </c>
      <c r="AJ27" s="1713" t="str">
        <f t="shared" ref="AJ27:AS27" si="2">IF(AJ28&lt;&gt;"",$AI$29&amp;"_"&amp;AJ28,"")</f>
        <v/>
      </c>
      <c r="AK27" s="1713" t="str">
        <f t="shared" si="2"/>
        <v/>
      </c>
      <c r="AL27" s="1713" t="str">
        <f t="shared" si="2"/>
        <v>BESS_SWMAAC</v>
      </c>
      <c r="AM27" s="1713" t="str">
        <f t="shared" si="2"/>
        <v/>
      </c>
      <c r="AN27" s="1713" t="str">
        <f t="shared" si="2"/>
        <v/>
      </c>
      <c r="AO27" s="1713" t="str">
        <f t="shared" si="2"/>
        <v/>
      </c>
      <c r="AP27" s="1713" t="str">
        <f t="shared" si="2"/>
        <v/>
      </c>
      <c r="AQ27" s="1713" t="str">
        <f t="shared" si="2"/>
        <v>BESS_Rest of RTO</v>
      </c>
      <c r="AR27" s="1713" t="str">
        <f t="shared" si="2"/>
        <v>BESS_WMAAC</v>
      </c>
      <c r="AS27" s="1713" t="str">
        <f t="shared" si="2"/>
        <v>BESS_COMED</v>
      </c>
      <c r="AT27" s="1713"/>
      <c r="AU27" s="1713"/>
      <c r="AV27" s="1713" t="str">
        <f>IF(AV28&lt;&gt;"",$V$29&amp;"_"&amp;AV28,"")</f>
        <v/>
      </c>
      <c r="AY27" s="1713"/>
      <c r="AZ27" s="1713"/>
      <c r="BA27" s="1713"/>
      <c r="BB27" s="1713"/>
    </row>
    <row r="28" spans="1:58" s="1066" customFormat="1" ht="15" hidden="1" customHeight="1" outlineLevel="1" x14ac:dyDescent="0.35">
      <c r="C28" s="2091"/>
      <c r="D28" s="2090" t="s">
        <v>287</v>
      </c>
      <c r="E28" s="1713"/>
      <c r="F28" s="1724"/>
      <c r="G28" s="1713"/>
      <c r="H28" s="1713"/>
      <c r="I28" s="1063" t="s">
        <v>288</v>
      </c>
      <c r="J28" s="1714"/>
      <c r="K28" s="1714"/>
      <c r="L28" s="1064" t="s">
        <v>289</v>
      </c>
      <c r="M28" s="1714"/>
      <c r="N28" s="1714"/>
      <c r="O28" s="1714"/>
      <c r="P28" s="1714"/>
      <c r="Q28" s="1065" t="s">
        <v>290</v>
      </c>
      <c r="R28" s="1063" t="s">
        <v>291</v>
      </c>
      <c r="S28" s="1063" t="s">
        <v>299</v>
      </c>
      <c r="T28" s="1063"/>
      <c r="U28" s="1713"/>
      <c r="V28" s="1063" t="s">
        <v>288</v>
      </c>
      <c r="W28" s="1714"/>
      <c r="X28" s="1714"/>
      <c r="Y28" s="1064" t="s">
        <v>289</v>
      </c>
      <c r="Z28" s="1714"/>
      <c r="AA28" s="1714"/>
      <c r="AB28" s="1714"/>
      <c r="AC28" s="1714"/>
      <c r="AD28" s="1065" t="s">
        <v>290</v>
      </c>
      <c r="AE28" s="1063" t="s">
        <v>291</v>
      </c>
      <c r="AF28" s="1063" t="s">
        <v>299</v>
      </c>
      <c r="AG28" s="1063"/>
      <c r="AH28" s="1713"/>
      <c r="AI28" s="1063" t="s">
        <v>288</v>
      </c>
      <c r="AJ28" s="1714"/>
      <c r="AK28" s="1714"/>
      <c r="AL28" s="1064" t="s">
        <v>289</v>
      </c>
      <c r="AM28" s="1714"/>
      <c r="AN28" s="1714"/>
      <c r="AO28" s="1714"/>
      <c r="AP28" s="1714"/>
      <c r="AQ28" s="1065" t="s">
        <v>290</v>
      </c>
      <c r="AR28" s="1063" t="s">
        <v>291</v>
      </c>
      <c r="AS28" s="1063" t="s">
        <v>299</v>
      </c>
      <c r="AT28" s="1063"/>
      <c r="AU28" s="1063"/>
      <c r="AV28" s="1713"/>
      <c r="AY28" s="1713"/>
      <c r="AZ28" s="1713"/>
      <c r="BA28" s="1713"/>
      <c r="BB28" s="1713"/>
    </row>
    <row r="29" spans="1:58" s="313" customFormat="1" ht="15" customHeight="1" collapsed="1" x14ac:dyDescent="0.35">
      <c r="D29" s="1688" t="s">
        <v>588</v>
      </c>
      <c r="F29" s="312"/>
      <c r="G29" s="1368"/>
      <c r="H29" s="1368"/>
      <c r="I29" s="2202" t="s">
        <v>281</v>
      </c>
      <c r="J29" s="2202"/>
      <c r="K29" s="2202"/>
      <c r="L29" s="2202"/>
      <c r="M29" s="2202"/>
      <c r="N29" s="2202"/>
      <c r="O29" s="2202"/>
      <c r="P29" s="2202"/>
      <c r="Q29" s="2202"/>
      <c r="R29" s="2202"/>
      <c r="S29" s="2202"/>
      <c r="T29" s="1368"/>
      <c r="U29" s="335"/>
      <c r="V29" s="2202" t="s">
        <v>283</v>
      </c>
      <c r="W29" s="2202"/>
      <c r="X29" s="2202"/>
      <c r="Y29" s="2202"/>
      <c r="Z29" s="2202"/>
      <c r="AA29" s="2202"/>
      <c r="AB29" s="2202"/>
      <c r="AC29" s="2202"/>
      <c r="AD29" s="2202"/>
      <c r="AE29" s="2202"/>
      <c r="AF29" s="2202"/>
      <c r="AG29" s="1368"/>
      <c r="AH29" s="335"/>
      <c r="AI29" s="2202" t="s">
        <v>282</v>
      </c>
      <c r="AJ29" s="2202"/>
      <c r="AK29" s="2202"/>
      <c r="AL29" s="2202"/>
      <c r="AM29" s="2202"/>
      <c r="AN29" s="2202"/>
      <c r="AO29" s="2202"/>
      <c r="AP29" s="2202"/>
      <c r="AQ29" s="2202"/>
      <c r="AR29" s="2202"/>
      <c r="AS29" s="2202"/>
      <c r="AT29" s="1368"/>
      <c r="AU29" s="1368"/>
      <c r="AV29" s="1071"/>
      <c r="AW29" s="214"/>
      <c r="AX29" s="214"/>
      <c r="AY29" s="1071"/>
      <c r="AZ29" s="1071"/>
      <c r="BA29" s="1071"/>
      <c r="BB29" s="1071"/>
    </row>
    <row r="30" spans="1:58" s="313" customFormat="1" ht="6" customHeight="1" x14ac:dyDescent="0.35">
      <c r="D30" s="1688"/>
      <c r="F30" s="312"/>
      <c r="G30" s="1368"/>
      <c r="H30" s="1368"/>
      <c r="I30" s="1677"/>
      <c r="J30" s="1677"/>
      <c r="K30" s="1677"/>
      <c r="L30" s="1677"/>
      <c r="M30" s="1677"/>
      <c r="N30" s="1677"/>
      <c r="O30" s="1677"/>
      <c r="P30" s="1677"/>
      <c r="Q30" s="1677"/>
      <c r="R30" s="1677"/>
      <c r="S30" s="1677"/>
      <c r="T30" s="1368"/>
      <c r="U30" s="335"/>
      <c r="V30" s="1677"/>
      <c r="W30" s="1677"/>
      <c r="X30" s="1677"/>
      <c r="Y30" s="1677"/>
      <c r="Z30" s="1677"/>
      <c r="AA30" s="1677"/>
      <c r="AB30" s="1677"/>
      <c r="AC30" s="1677"/>
      <c r="AD30" s="1677"/>
      <c r="AE30" s="1677"/>
      <c r="AF30" s="1677"/>
      <c r="AG30" s="1368"/>
      <c r="AH30" s="1071"/>
      <c r="AI30" s="1677"/>
      <c r="AJ30" s="1677"/>
      <c r="AK30" s="1677"/>
      <c r="AL30" s="1677"/>
      <c r="AM30" s="1677"/>
      <c r="AN30" s="1677"/>
      <c r="AO30" s="1677"/>
      <c r="AP30" s="1677"/>
      <c r="AQ30" s="1700"/>
      <c r="AR30" s="1700"/>
      <c r="AS30" s="1700"/>
      <c r="AT30" s="1699"/>
      <c r="AU30" s="1699"/>
      <c r="AV30" s="1071"/>
      <c r="AW30" s="214"/>
      <c r="AX30" s="214"/>
      <c r="AY30" s="1071"/>
      <c r="AZ30" s="1071"/>
      <c r="BA30" s="1071"/>
      <c r="BB30" s="1071"/>
    </row>
    <row r="31" spans="1:58" s="246" customFormat="1" ht="6" customHeight="1" x14ac:dyDescent="0.35">
      <c r="D31" s="132"/>
      <c r="E31" s="132"/>
      <c r="F31" s="1716"/>
      <c r="G31" s="132"/>
      <c r="H31" s="132"/>
      <c r="I31" s="132"/>
      <c r="J31" s="324"/>
      <c r="K31" s="324"/>
      <c r="L31" s="324"/>
      <c r="M31" s="324"/>
      <c r="N31" s="324"/>
      <c r="O31" s="324"/>
      <c r="P31" s="330"/>
      <c r="Q31" s="330"/>
      <c r="R31" s="132"/>
      <c r="S31" s="132"/>
      <c r="T31" s="132"/>
      <c r="U31" s="335"/>
      <c r="V31" s="132"/>
      <c r="W31" s="324"/>
      <c r="X31" s="324"/>
      <c r="Y31" s="324"/>
      <c r="Z31" s="324"/>
      <c r="AA31" s="324"/>
      <c r="AB31" s="324"/>
      <c r="AC31" s="330"/>
      <c r="AD31" s="330"/>
      <c r="AE31" s="132"/>
      <c r="AF31" s="132"/>
      <c r="AG31" s="132"/>
      <c r="AH31" s="335"/>
      <c r="AI31" s="132"/>
      <c r="AJ31" s="324"/>
      <c r="AK31" s="324"/>
      <c r="AL31" s="324"/>
      <c r="AM31" s="324"/>
      <c r="AN31" s="324"/>
      <c r="AO31" s="324"/>
      <c r="AP31" s="330"/>
      <c r="AQ31" s="330"/>
      <c r="AR31" s="132"/>
      <c r="AS31" s="132"/>
      <c r="AT31" s="132"/>
      <c r="AU31" s="132"/>
      <c r="AV31" s="1071"/>
      <c r="AW31" s="374"/>
      <c r="AX31" s="374"/>
      <c r="AY31" s="1071"/>
      <c r="AZ31" s="1071"/>
      <c r="BA31" s="1071"/>
      <c r="BB31" s="1071"/>
    </row>
    <row r="32" spans="1:58" s="1702" customFormat="1" ht="15" customHeight="1" x14ac:dyDescent="0.35">
      <c r="D32" s="2205" t="s">
        <v>287</v>
      </c>
      <c r="E32" s="1701"/>
      <c r="F32" s="1725"/>
      <c r="I32" s="1059" t="s">
        <v>288</v>
      </c>
      <c r="J32" s="1059" t="s">
        <v>289</v>
      </c>
      <c r="K32" s="1059" t="s">
        <v>289</v>
      </c>
      <c r="L32" s="1059" t="s">
        <v>289</v>
      </c>
      <c r="M32" s="1059" t="s">
        <v>339</v>
      </c>
      <c r="N32" s="1059" t="s">
        <v>339</v>
      </c>
      <c r="O32" s="1059" t="s">
        <v>339</v>
      </c>
      <c r="P32" s="1059" t="s">
        <v>340</v>
      </c>
      <c r="Q32" s="1059" t="s">
        <v>589</v>
      </c>
      <c r="R32" s="1059" t="s">
        <v>291</v>
      </c>
      <c r="S32" s="1059" t="s">
        <v>299</v>
      </c>
      <c r="T32" s="1059"/>
      <c r="U32" s="1703"/>
      <c r="V32" s="1059" t="s">
        <v>288</v>
      </c>
      <c r="W32" s="1059" t="s">
        <v>289</v>
      </c>
      <c r="X32" s="1059" t="s">
        <v>289</v>
      </c>
      <c r="Y32" s="1059" t="s">
        <v>289</v>
      </c>
      <c r="Z32" s="1059" t="s">
        <v>339</v>
      </c>
      <c r="AA32" s="1059" t="s">
        <v>339</v>
      </c>
      <c r="AB32" s="1059" t="s">
        <v>339</v>
      </c>
      <c r="AC32" s="1059" t="s">
        <v>340</v>
      </c>
      <c r="AD32" s="1059" t="s">
        <v>589</v>
      </c>
      <c r="AE32" s="1059" t="s">
        <v>291</v>
      </c>
      <c r="AF32" s="1059" t="s">
        <v>299</v>
      </c>
      <c r="AG32" s="1059"/>
      <c r="AH32" s="1703"/>
      <c r="AI32" s="1059" t="s">
        <v>288</v>
      </c>
      <c r="AJ32" s="1059" t="s">
        <v>499</v>
      </c>
      <c r="AK32" s="1059" t="s">
        <v>500</v>
      </c>
      <c r="AL32" s="1059" t="s">
        <v>289</v>
      </c>
      <c r="AM32" s="1059" t="s">
        <v>339</v>
      </c>
      <c r="AN32" s="1059" t="s">
        <v>339</v>
      </c>
      <c r="AO32" s="1059" t="s">
        <v>339</v>
      </c>
      <c r="AP32" s="1059" t="s">
        <v>340</v>
      </c>
      <c r="AQ32" s="1059" t="s">
        <v>589</v>
      </c>
      <c r="AR32" s="1059" t="s">
        <v>291</v>
      </c>
      <c r="AS32" s="1059" t="s">
        <v>299</v>
      </c>
      <c r="AT32" s="1059"/>
      <c r="AU32" s="1059"/>
      <c r="AV32" s="1704"/>
      <c r="AW32" s="1705"/>
      <c r="AX32" s="1705"/>
      <c r="AY32" s="1704"/>
      <c r="AZ32" s="1704"/>
      <c r="BA32" s="1704"/>
      <c r="BB32" s="1704"/>
    </row>
    <row r="33" spans="1:54" s="313" customFormat="1" ht="15" customHeight="1" x14ac:dyDescent="0.35">
      <c r="D33" s="2205"/>
      <c r="E33" s="273"/>
      <c r="F33" s="1726"/>
      <c r="I33" s="274">
        <v>1</v>
      </c>
      <c r="J33" s="1060">
        <v>2</v>
      </c>
      <c r="K33" s="1060">
        <v>2</v>
      </c>
      <c r="L33" s="1060">
        <v>2</v>
      </c>
      <c r="M33" s="274">
        <v>3</v>
      </c>
      <c r="N33" s="274">
        <v>3</v>
      </c>
      <c r="O33" s="274">
        <v>3</v>
      </c>
      <c r="P33" s="274">
        <v>3</v>
      </c>
      <c r="Q33" s="274">
        <v>3</v>
      </c>
      <c r="R33" s="274">
        <v>4</v>
      </c>
      <c r="S33" s="274">
        <v>5</v>
      </c>
      <c r="T33" s="274"/>
      <c r="U33" s="335"/>
      <c r="V33" s="274">
        <v>1</v>
      </c>
      <c r="W33" s="1060">
        <v>2</v>
      </c>
      <c r="X33" s="1060">
        <v>2</v>
      </c>
      <c r="Y33" s="1060">
        <v>2</v>
      </c>
      <c r="Z33" s="274">
        <v>3</v>
      </c>
      <c r="AA33" s="274">
        <v>3</v>
      </c>
      <c r="AB33" s="274">
        <v>3</v>
      </c>
      <c r="AC33" s="274">
        <v>3</v>
      </c>
      <c r="AD33" s="274">
        <v>3</v>
      </c>
      <c r="AE33" s="274">
        <v>4</v>
      </c>
      <c r="AF33" s="274">
        <v>5</v>
      </c>
      <c r="AG33" s="274"/>
      <c r="AH33" s="335"/>
      <c r="AI33" s="274">
        <v>1</v>
      </c>
      <c r="AJ33" s="1060">
        <v>2</v>
      </c>
      <c r="AK33" s="1060">
        <v>2</v>
      </c>
      <c r="AL33" s="1060">
        <v>2</v>
      </c>
      <c r="AM33" s="274">
        <v>3</v>
      </c>
      <c r="AN33" s="274">
        <v>3</v>
      </c>
      <c r="AO33" s="274">
        <v>3</v>
      </c>
      <c r="AP33" s="274">
        <v>3</v>
      </c>
      <c r="AQ33" s="274">
        <v>3</v>
      </c>
      <c r="AR33" s="274">
        <v>4</v>
      </c>
      <c r="AS33" s="274">
        <v>5</v>
      </c>
      <c r="AT33" s="274"/>
      <c r="AU33" s="274"/>
      <c r="AV33" s="1071"/>
      <c r="AW33" s="214"/>
      <c r="AX33" s="214"/>
      <c r="AY33" s="1071"/>
      <c r="AZ33" s="1071"/>
      <c r="BA33" s="1071"/>
      <c r="BB33" s="1071"/>
    </row>
    <row r="34" spans="1:54" s="313" customFormat="1" ht="6" customHeight="1" x14ac:dyDescent="0.35">
      <c r="D34" s="331"/>
      <c r="E34" s="336"/>
      <c r="F34" s="1727"/>
      <c r="G34" s="159"/>
      <c r="H34" s="246"/>
      <c r="I34" s="381"/>
      <c r="J34" s="381"/>
      <c r="K34" s="381"/>
      <c r="L34" s="381"/>
      <c r="M34" s="381"/>
      <c r="N34" s="381"/>
      <c r="O34" s="381"/>
      <c r="P34" s="381"/>
      <c r="Q34" s="381"/>
      <c r="R34" s="381"/>
      <c r="S34" s="381"/>
      <c r="T34" s="323"/>
      <c r="U34" s="335"/>
      <c r="V34" s="381"/>
      <c r="W34" s="381"/>
      <c r="X34" s="381"/>
      <c r="Y34" s="381"/>
      <c r="Z34" s="381"/>
      <c r="AA34" s="381"/>
      <c r="AB34" s="381"/>
      <c r="AC34" s="381"/>
      <c r="AD34" s="381"/>
      <c r="AE34" s="381"/>
      <c r="AF34" s="381"/>
      <c r="AG34" s="323"/>
      <c r="AH34" s="335"/>
      <c r="AI34" s="381"/>
      <c r="AJ34" s="381"/>
      <c r="AK34" s="381"/>
      <c r="AL34" s="381"/>
      <c r="AM34" s="381"/>
      <c r="AN34" s="381"/>
      <c r="AO34" s="381"/>
      <c r="AP34" s="381"/>
      <c r="AQ34" s="381"/>
      <c r="AR34" s="381"/>
      <c r="AS34" s="381"/>
      <c r="AT34" s="323"/>
      <c r="AU34" s="323"/>
      <c r="AV34" s="1071"/>
      <c r="AW34" s="214"/>
      <c r="AX34" s="214"/>
      <c r="AY34" s="1071"/>
      <c r="AZ34" s="1071"/>
      <c r="BA34" s="1071"/>
      <c r="BB34" s="1071"/>
    </row>
    <row r="35" spans="1:54" s="313" customFormat="1" ht="6" customHeight="1" x14ac:dyDescent="0.35">
      <c r="D35" s="332"/>
      <c r="E35" s="337"/>
      <c r="F35" s="1728"/>
      <c r="H35" s="246"/>
      <c r="I35" s="323"/>
      <c r="J35" s="323"/>
      <c r="K35" s="323"/>
      <c r="L35" s="323"/>
      <c r="M35" s="323"/>
      <c r="N35" s="323"/>
      <c r="O35" s="323"/>
      <c r="P35" s="323"/>
      <c r="Q35" s="323"/>
      <c r="R35" s="323"/>
      <c r="S35" s="323"/>
      <c r="T35" s="323"/>
      <c r="U35" s="335"/>
      <c r="V35" s="323"/>
      <c r="W35" s="323"/>
      <c r="X35" s="323"/>
      <c r="Y35" s="323"/>
      <c r="Z35" s="323"/>
      <c r="AA35" s="323"/>
      <c r="AB35" s="323"/>
      <c r="AC35" s="323"/>
      <c r="AD35" s="323"/>
      <c r="AE35" s="323"/>
      <c r="AF35" s="323"/>
      <c r="AG35" s="323"/>
      <c r="AH35" s="335"/>
      <c r="AI35" s="323"/>
      <c r="AJ35" s="323"/>
      <c r="AK35" s="323"/>
      <c r="AL35" s="323"/>
      <c r="AM35" s="323"/>
      <c r="AN35" s="323"/>
      <c r="AO35" s="323"/>
      <c r="AP35" s="323"/>
      <c r="AQ35" s="323"/>
      <c r="AR35" s="323"/>
      <c r="AS35" s="323"/>
      <c r="AT35" s="323"/>
      <c r="AU35" s="323"/>
      <c r="AV35" s="1071"/>
      <c r="AW35" s="214"/>
      <c r="AX35" s="214"/>
      <c r="AY35" s="1071"/>
      <c r="AZ35" s="1071"/>
      <c r="BA35" s="1071"/>
      <c r="BB35" s="1071"/>
    </row>
    <row r="36" spans="1:54" s="313" customFormat="1" ht="30" customHeight="1" x14ac:dyDescent="0.35">
      <c r="D36" s="1685" t="s">
        <v>27</v>
      </c>
      <c r="E36" s="1602" t="s">
        <v>538</v>
      </c>
      <c r="F36" s="2203" t="s">
        <v>494</v>
      </c>
      <c r="G36" s="2203"/>
      <c r="H36" s="1689"/>
      <c r="I36" s="1601" t="s">
        <v>337</v>
      </c>
      <c r="J36" s="1686" t="s">
        <v>337</v>
      </c>
      <c r="K36" s="1686" t="s">
        <v>338</v>
      </c>
      <c r="L36" s="1686" t="s">
        <v>64</v>
      </c>
      <c r="M36" s="1686" t="s">
        <v>337</v>
      </c>
      <c r="N36" s="1686" t="s">
        <v>272</v>
      </c>
      <c r="O36" s="1686" t="s">
        <v>338</v>
      </c>
      <c r="P36" s="1686" t="s">
        <v>337</v>
      </c>
      <c r="Q36" s="1686" t="s">
        <v>64</v>
      </c>
      <c r="R36" s="1686" t="s">
        <v>337</v>
      </c>
      <c r="S36" s="1686" t="s">
        <v>337</v>
      </c>
      <c r="T36" s="1686"/>
      <c r="U36" s="1687"/>
      <c r="V36" s="1601" t="s">
        <v>337</v>
      </c>
      <c r="W36" s="1686" t="s">
        <v>337</v>
      </c>
      <c r="X36" s="1686" t="s">
        <v>338</v>
      </c>
      <c r="Y36" s="1686" t="s">
        <v>64</v>
      </c>
      <c r="Z36" s="1686" t="s">
        <v>337</v>
      </c>
      <c r="AA36" s="1686" t="s">
        <v>272</v>
      </c>
      <c r="AB36" s="1686" t="s">
        <v>338</v>
      </c>
      <c r="AC36" s="1686" t="s">
        <v>337</v>
      </c>
      <c r="AD36" s="1686" t="s">
        <v>64</v>
      </c>
      <c r="AE36" s="1686" t="s">
        <v>337</v>
      </c>
      <c r="AF36" s="1686" t="s">
        <v>337</v>
      </c>
      <c r="AG36" s="1686"/>
      <c r="AH36" s="1687"/>
      <c r="AI36" s="1601" t="s">
        <v>337</v>
      </c>
      <c r="AJ36" s="1686" t="s">
        <v>337</v>
      </c>
      <c r="AK36" s="1686" t="s">
        <v>338</v>
      </c>
      <c r="AL36" s="1686" t="s">
        <v>64</v>
      </c>
      <c r="AM36" s="1686" t="s">
        <v>337</v>
      </c>
      <c r="AN36" s="1686" t="s">
        <v>272</v>
      </c>
      <c r="AO36" s="1686" t="s">
        <v>338</v>
      </c>
      <c r="AP36" s="1686" t="s">
        <v>337</v>
      </c>
      <c r="AQ36" s="1686" t="s">
        <v>64</v>
      </c>
      <c r="AR36" s="1686" t="s">
        <v>337</v>
      </c>
      <c r="AS36" s="1686" t="s">
        <v>337</v>
      </c>
      <c r="AT36" s="1686"/>
      <c r="AU36" s="1686"/>
      <c r="AV36" s="1071"/>
      <c r="AW36" s="214"/>
      <c r="AX36" s="214"/>
      <c r="AY36" s="1071"/>
      <c r="AZ36" s="1071"/>
      <c r="BA36" s="1071"/>
      <c r="BB36" s="1071"/>
    </row>
    <row r="37" spans="1:54" s="313" customFormat="1" ht="6" customHeight="1" x14ac:dyDescent="0.35">
      <c r="D37" s="1146"/>
      <c r="E37" s="1693"/>
      <c r="F37" s="1073"/>
      <c r="G37" s="1693"/>
      <c r="H37" s="1690"/>
      <c r="I37" s="1694"/>
      <c r="J37" s="1695"/>
      <c r="K37" s="1695"/>
      <c r="L37" s="1695"/>
      <c r="M37" s="1695"/>
      <c r="N37" s="1695"/>
      <c r="O37" s="1695"/>
      <c r="P37" s="1695"/>
      <c r="Q37" s="1695"/>
      <c r="R37" s="1695"/>
      <c r="S37" s="1695"/>
      <c r="T37" s="1691"/>
      <c r="U37" s="1692"/>
      <c r="V37" s="1694"/>
      <c r="W37" s="1695"/>
      <c r="X37" s="1695"/>
      <c r="Y37" s="1695"/>
      <c r="Z37" s="1695"/>
      <c r="AA37" s="1695"/>
      <c r="AB37" s="1695"/>
      <c r="AC37" s="1695"/>
      <c r="AD37" s="1695"/>
      <c r="AE37" s="1695"/>
      <c r="AF37" s="1695"/>
      <c r="AG37" s="1691"/>
      <c r="AH37" s="1692"/>
      <c r="AI37" s="1694"/>
      <c r="AJ37" s="1695"/>
      <c r="AK37" s="1695"/>
      <c r="AL37" s="1695"/>
      <c r="AM37" s="1695"/>
      <c r="AN37" s="1695"/>
      <c r="AO37" s="1695"/>
      <c r="AP37" s="1695"/>
      <c r="AQ37" s="1695"/>
      <c r="AR37" s="1695"/>
      <c r="AS37" s="1695"/>
      <c r="AT37" s="1691"/>
      <c r="AU37" s="1691"/>
      <c r="AV37" s="1071"/>
      <c r="AW37" s="214"/>
      <c r="AX37" s="214"/>
      <c r="AY37" s="1071"/>
      <c r="AZ37" s="1071"/>
      <c r="BA37" s="1071"/>
      <c r="BB37" s="1071"/>
    </row>
    <row r="38" spans="1:54" s="313" customFormat="1" ht="6" customHeight="1" x14ac:dyDescent="0.35">
      <c r="D38" s="1148"/>
      <c r="E38" s="1696"/>
      <c r="F38" s="1074"/>
      <c r="G38" s="1696"/>
      <c r="H38" s="1690"/>
      <c r="I38" s="1697"/>
      <c r="J38" s="1698"/>
      <c r="K38" s="1698"/>
      <c r="L38" s="1698"/>
      <c r="M38" s="1698"/>
      <c r="N38" s="1698"/>
      <c r="O38" s="1698"/>
      <c r="P38" s="1698"/>
      <c r="Q38" s="1698"/>
      <c r="R38" s="1698"/>
      <c r="S38" s="1698"/>
      <c r="T38" s="1691"/>
      <c r="U38" s="1692"/>
      <c r="V38" s="1697"/>
      <c r="W38" s="1698"/>
      <c r="X38" s="1698"/>
      <c r="Y38" s="1698"/>
      <c r="Z38" s="1698"/>
      <c r="AA38" s="1698"/>
      <c r="AB38" s="1698"/>
      <c r="AC38" s="1698"/>
      <c r="AD38" s="1698"/>
      <c r="AE38" s="1698"/>
      <c r="AF38" s="1698"/>
      <c r="AG38" s="1691"/>
      <c r="AH38" s="1692"/>
      <c r="AI38" s="1697"/>
      <c r="AJ38" s="1698"/>
      <c r="AK38" s="1698"/>
      <c r="AL38" s="1698"/>
      <c r="AM38" s="1698"/>
      <c r="AN38" s="1698"/>
      <c r="AO38" s="1698"/>
      <c r="AP38" s="1698"/>
      <c r="AQ38" s="1698"/>
      <c r="AR38" s="1698"/>
      <c r="AS38" s="1698"/>
      <c r="AT38" s="1691"/>
      <c r="AU38" s="1691"/>
      <c r="AV38" s="1071"/>
      <c r="AW38" s="214"/>
      <c r="AX38" s="214"/>
      <c r="AY38" s="1071"/>
      <c r="AZ38" s="1071"/>
      <c r="BA38" s="1071"/>
      <c r="BB38" s="1071"/>
    </row>
    <row r="39" spans="1:54" s="313" customFormat="1" ht="15" customHeight="1" x14ac:dyDescent="0.35">
      <c r="D39" s="1685"/>
      <c r="E39" s="1689"/>
      <c r="G39" s="257" t="s">
        <v>506</v>
      </c>
      <c r="H39" s="257"/>
      <c r="I39" s="257" t="s">
        <v>259</v>
      </c>
      <c r="J39" s="257" t="s">
        <v>259</v>
      </c>
      <c r="K39" s="257" t="s">
        <v>259</v>
      </c>
      <c r="L39" s="257" t="s">
        <v>259</v>
      </c>
      <c r="M39" s="257" t="s">
        <v>259</v>
      </c>
      <c r="N39" s="257" t="s">
        <v>10</v>
      </c>
      <c r="O39" s="257" t="s">
        <v>259</v>
      </c>
      <c r="P39" s="257" t="s">
        <v>259</v>
      </c>
      <c r="Q39" s="257" t="s">
        <v>259</v>
      </c>
      <c r="R39" s="257" t="s">
        <v>259</v>
      </c>
      <c r="S39" s="257" t="s">
        <v>259</v>
      </c>
      <c r="T39" s="257"/>
      <c r="U39" s="335"/>
      <c r="V39" s="257" t="s">
        <v>259</v>
      </c>
      <c r="W39" s="257" t="s">
        <v>259</v>
      </c>
      <c r="X39" s="257" t="s">
        <v>259</v>
      </c>
      <c r="Y39" s="257" t="s">
        <v>259</v>
      </c>
      <c r="Z39" s="257" t="s">
        <v>259</v>
      </c>
      <c r="AA39" s="257" t="s">
        <v>10</v>
      </c>
      <c r="AB39" s="257" t="s">
        <v>259</v>
      </c>
      <c r="AC39" s="257" t="s">
        <v>259</v>
      </c>
      <c r="AD39" s="257" t="s">
        <v>259</v>
      </c>
      <c r="AE39" s="257" t="s">
        <v>259</v>
      </c>
      <c r="AF39" s="257" t="s">
        <v>259</v>
      </c>
      <c r="AG39" s="257"/>
      <c r="AH39" s="335"/>
      <c r="AI39" s="257" t="s">
        <v>259</v>
      </c>
      <c r="AJ39" s="257" t="s">
        <v>259</v>
      </c>
      <c r="AK39" s="257" t="s">
        <v>259</v>
      </c>
      <c r="AL39" s="257" t="s">
        <v>259</v>
      </c>
      <c r="AM39" s="257" t="s">
        <v>259</v>
      </c>
      <c r="AN39" s="257" t="s">
        <v>10</v>
      </c>
      <c r="AO39" s="257" t="s">
        <v>259</v>
      </c>
      <c r="AP39" s="257" t="s">
        <v>259</v>
      </c>
      <c r="AQ39" s="257" t="s">
        <v>259</v>
      </c>
      <c r="AR39" s="257" t="s">
        <v>259</v>
      </c>
      <c r="AS39" s="257" t="s">
        <v>259</v>
      </c>
      <c r="AT39" s="257"/>
      <c r="AU39" s="257"/>
      <c r="AV39" s="335"/>
      <c r="AW39" s="214"/>
      <c r="AX39" s="214"/>
      <c r="AY39" s="335"/>
      <c r="AZ39" s="335"/>
      <c r="BA39" s="335"/>
      <c r="BB39" s="335"/>
    </row>
    <row r="40" spans="1:54" s="313" customFormat="1" ht="15" customHeight="1" x14ac:dyDescent="0.35">
      <c r="D40" s="230" t="str">
        <f>"["&amp;CHAR(D$1)&amp;"]"</f>
        <v>[A]</v>
      </c>
      <c r="E40" s="166" t="str">
        <f>"["&amp;CHAR(E$1)&amp;"]"</f>
        <v>[B]</v>
      </c>
      <c r="G40" s="166" t="str">
        <f>"["&amp;CHAR(G$1)&amp;"]"</f>
        <v>[C]</v>
      </c>
      <c r="H40" s="257"/>
      <c r="I40" s="166" t="str">
        <f t="shared" ref="I40:S40" si="3">"["&amp;CHAR(I$1)&amp;"]"</f>
        <v>[D]</v>
      </c>
      <c r="J40" s="166" t="str">
        <f t="shared" si="3"/>
        <v>[E]</v>
      </c>
      <c r="K40" s="166" t="str">
        <f t="shared" si="3"/>
        <v>[F]</v>
      </c>
      <c r="L40" s="166" t="str">
        <f t="shared" si="3"/>
        <v>[G]</v>
      </c>
      <c r="M40" s="166" t="str">
        <f t="shared" si="3"/>
        <v>[H]</v>
      </c>
      <c r="N40" s="166" t="str">
        <f t="shared" si="3"/>
        <v>[I]</v>
      </c>
      <c r="O40" s="166" t="str">
        <f t="shared" si="3"/>
        <v>[J]</v>
      </c>
      <c r="P40" s="166" t="str">
        <f t="shared" si="3"/>
        <v>[K]</v>
      </c>
      <c r="Q40" s="166" t="str">
        <f t="shared" si="3"/>
        <v>[L]</v>
      </c>
      <c r="R40" s="166" t="str">
        <f t="shared" si="3"/>
        <v>[M]</v>
      </c>
      <c r="S40" s="166" t="str">
        <f t="shared" si="3"/>
        <v>[N]</v>
      </c>
      <c r="T40" s="166"/>
      <c r="U40" s="335"/>
      <c r="V40" s="166" t="str">
        <f t="shared" ref="V40:AF40" si="4">"["&amp;CHAR(V$1)&amp;"]"</f>
        <v>[O]</v>
      </c>
      <c r="W40" s="166" t="str">
        <f t="shared" si="4"/>
        <v>[P]</v>
      </c>
      <c r="X40" s="166" t="str">
        <f t="shared" si="4"/>
        <v>[Q]</v>
      </c>
      <c r="Y40" s="166" t="str">
        <f t="shared" si="4"/>
        <v>[R]</v>
      </c>
      <c r="Z40" s="166" t="str">
        <f t="shared" si="4"/>
        <v>[S]</v>
      </c>
      <c r="AA40" s="166" t="str">
        <f t="shared" si="4"/>
        <v>[T]</v>
      </c>
      <c r="AB40" s="166" t="str">
        <f t="shared" si="4"/>
        <v>[U]</v>
      </c>
      <c r="AC40" s="166" t="str">
        <f t="shared" si="4"/>
        <v>[V]</v>
      </c>
      <c r="AD40" s="166" t="str">
        <f t="shared" si="4"/>
        <v>[W]</v>
      </c>
      <c r="AE40" s="166" t="str">
        <f t="shared" si="4"/>
        <v>[X]</v>
      </c>
      <c r="AF40" s="166" t="str">
        <f t="shared" si="4"/>
        <v>[Y]</v>
      </c>
      <c r="AG40" s="166"/>
      <c r="AH40" s="335"/>
      <c r="AI40" s="166" t="str">
        <f>"["&amp;CHAR(AI$1)&amp;"]"</f>
        <v>[Z]</v>
      </c>
      <c r="AJ40" s="166" t="str">
        <f>"["&amp;CHAR($D$1)&amp;CHAR(AJ$1)&amp;"]"</f>
        <v>[AA]</v>
      </c>
      <c r="AK40" s="166" t="str">
        <f t="shared" ref="AK40:AS40" si="5">"["&amp;CHAR($D$1)&amp;CHAR(AK$1)&amp;"]"</f>
        <v>[AB]</v>
      </c>
      <c r="AL40" s="166" t="str">
        <f t="shared" si="5"/>
        <v>[AC]</v>
      </c>
      <c r="AM40" s="166" t="str">
        <f t="shared" si="5"/>
        <v>[AD]</v>
      </c>
      <c r="AN40" s="166" t="str">
        <f t="shared" si="5"/>
        <v>[AE]</v>
      </c>
      <c r="AO40" s="166" t="str">
        <f t="shared" si="5"/>
        <v>[AF]</v>
      </c>
      <c r="AP40" s="166" t="str">
        <f t="shared" si="5"/>
        <v>[AG]</v>
      </c>
      <c r="AQ40" s="166" t="str">
        <f t="shared" si="5"/>
        <v>[AH]</v>
      </c>
      <c r="AR40" s="166" t="str">
        <f t="shared" si="5"/>
        <v>[AI]</v>
      </c>
      <c r="AS40" s="166" t="str">
        <f t="shared" si="5"/>
        <v>[AJ]</v>
      </c>
      <c r="AT40" s="166"/>
      <c r="AU40" s="166"/>
      <c r="AV40" s="335"/>
      <c r="AW40" s="214"/>
      <c r="AX40" s="214"/>
      <c r="AY40" s="335"/>
      <c r="AZ40" s="335"/>
      <c r="BA40" s="335"/>
      <c r="BB40" s="335"/>
    </row>
    <row r="41" spans="1:54" s="313" customFormat="1" ht="15" customHeight="1" x14ac:dyDescent="0.35">
      <c r="D41" s="1676"/>
      <c r="E41" s="257" t="str">
        <f>D40&amp;" - "&amp;YEAR(Control!$H$19)-1</f>
        <v>[A] - 2027</v>
      </c>
      <c r="G41" s="1069" t="str">
        <f>'Annual FOM Costs'!$D$3</f>
        <v>Table B1</v>
      </c>
      <c r="H41" s="1069"/>
      <c r="I41" s="257" t="str">
        <f>$F$12&amp;" x "&amp;$F$18&amp;" x "&amp;$G$40</f>
        <v>[1] x [5] x [C]</v>
      </c>
      <c r="J41" s="257" t="str">
        <f>$F$12&amp;" x "&amp;$F$18&amp;" x "&amp;$G$40</f>
        <v>[1] x [5] x [C]</v>
      </c>
      <c r="K41" s="257" t="s">
        <v>305</v>
      </c>
      <c r="L41" s="257" t="str">
        <f>J40&amp;" + "&amp;K40</f>
        <v>[E] + [F]</v>
      </c>
      <c r="M41" s="257" t="str">
        <f>$F$12&amp;" x "&amp;$F$18&amp;" x "&amp;$G$40</f>
        <v>[1] x [5] x [C]</v>
      </c>
      <c r="N41" s="257" t="s">
        <v>305</v>
      </c>
      <c r="O41" s="257" t="s">
        <v>305</v>
      </c>
      <c r="P41" s="257" t="str">
        <f>$F$12&amp;" x "&amp;$F$18&amp;" x "&amp;$G$40</f>
        <v>[1] x [5] x [C]</v>
      </c>
      <c r="Q41" s="257" t="str">
        <f>"AVERAGE("&amp;M40&amp;" + "&amp;O40&amp;", "&amp;P40&amp;")"</f>
        <v>AVERAGE([H] + [J], [K])</v>
      </c>
      <c r="R41" s="257" t="str">
        <f>$F$12&amp;" x "&amp;$F$18&amp;" x "&amp;$G$40</f>
        <v>[1] x [5] x [C]</v>
      </c>
      <c r="S41" s="257" t="str">
        <f>$F$12&amp;" x "&amp;$F$18&amp;" x "&amp;$G$40</f>
        <v>[1] x [5] x [C]</v>
      </c>
      <c r="T41" s="257"/>
      <c r="U41" s="1071"/>
      <c r="V41" s="257" t="str">
        <f>$F$12&amp;" x "&amp;$F$19&amp;" x "&amp;$G$40</f>
        <v>[1] x [6] x [C]</v>
      </c>
      <c r="W41" s="257" t="str">
        <f>$F$12&amp;" x "&amp;$F$19&amp;" x "&amp;$G$40</f>
        <v>[1] x [6] x [C]</v>
      </c>
      <c r="X41" s="257" t="s">
        <v>305</v>
      </c>
      <c r="Y41" s="257" t="str">
        <f>W40&amp;" + "&amp;X40</f>
        <v>[P] + [Q]</v>
      </c>
      <c r="Z41" s="257" t="str">
        <f>$F$12&amp;" x "&amp;$F$19&amp;" x "&amp;$G$40</f>
        <v>[1] x [6] x [C]</v>
      </c>
      <c r="AA41" s="257" t="s">
        <v>305</v>
      </c>
      <c r="AB41" s="257" t="s">
        <v>305</v>
      </c>
      <c r="AC41" s="257" t="str">
        <f>$F$12&amp;" x "&amp;$F$19&amp;" x "&amp;$G$40</f>
        <v>[1] x [6] x [C]</v>
      </c>
      <c r="AD41" s="257" t="str">
        <f>"AVERAGE("&amp;Z40&amp;" + "&amp;AB40&amp;", "&amp;AC40&amp;")"</f>
        <v>AVERAGE([S] + [U], [V])</v>
      </c>
      <c r="AE41" s="257" t="str">
        <f>$F$12&amp;" x "&amp;$F$19&amp;" x "&amp;$G$40</f>
        <v>[1] x [6] x [C]</v>
      </c>
      <c r="AF41" s="257" t="str">
        <f>$F$12&amp;" x "&amp;$F$19&amp;" x "&amp;$G$40</f>
        <v>[1] x [6] x [C]</v>
      </c>
      <c r="AG41" s="257"/>
      <c r="AH41" s="1071"/>
      <c r="AI41" s="257" t="str">
        <f>$F$12&amp;" x "&amp;$F$20&amp;" x "&amp;$G$40</f>
        <v>[1] x [7] x [C]</v>
      </c>
      <c r="AJ41" s="257" t="str">
        <f>$F$12&amp;" x "&amp;$F$20&amp;" x "&amp;$G$40</f>
        <v>[1] x [7] x [C]</v>
      </c>
      <c r="AK41" s="257" t="s">
        <v>305</v>
      </c>
      <c r="AL41" s="257" t="str">
        <f>AJ40&amp;" + "&amp;AK40</f>
        <v>[AA] + [AB]</v>
      </c>
      <c r="AM41" s="257" t="str">
        <f>$F$12&amp;" x "&amp;$F$20&amp;" x "&amp;$G$40</f>
        <v>[1] x [7] x [C]</v>
      </c>
      <c r="AN41" s="257" t="s">
        <v>305</v>
      </c>
      <c r="AO41" s="257" t="s">
        <v>305</v>
      </c>
      <c r="AP41" s="257" t="str">
        <f>$F$12&amp;" x "&amp;$F$20&amp;" x "&amp;$G$40</f>
        <v>[1] x [7] x [C]</v>
      </c>
      <c r="AQ41" s="257" t="str">
        <f>"AVERAGE("&amp;AM40&amp;" + "&amp;AO40&amp;", "&amp;AP40&amp;")"</f>
        <v>AVERAGE([AD] + [AF], [AG])</v>
      </c>
      <c r="AR41" s="257" t="str">
        <f>$F$12&amp;" x "&amp;$F$20&amp;" x "&amp;$G$40</f>
        <v>[1] x [7] x [C]</v>
      </c>
      <c r="AS41" s="257" t="str">
        <f>$F$12&amp;" x "&amp;$F$20&amp;" x "&amp;$G$40</f>
        <v>[1] x [7] x [C]</v>
      </c>
      <c r="AT41" s="257"/>
      <c r="AU41" s="257"/>
      <c r="AV41" s="1071"/>
      <c r="AW41" s="214"/>
      <c r="AX41" s="214"/>
      <c r="AY41" s="1071"/>
      <c r="AZ41" s="1071"/>
      <c r="BA41" s="1071"/>
      <c r="BB41" s="1071"/>
    </row>
    <row r="42" spans="1:54" s="246" customFormat="1" ht="6" customHeight="1" x14ac:dyDescent="0.35">
      <c r="D42" s="1708"/>
      <c r="E42" s="1707"/>
      <c r="F42" s="1073"/>
      <c r="G42" s="1681"/>
      <c r="H42" s="1069"/>
      <c r="I42" s="1707"/>
      <c r="J42" s="1707"/>
      <c r="K42" s="1707"/>
      <c r="L42" s="1707"/>
      <c r="M42" s="1707"/>
      <c r="N42" s="1707"/>
      <c r="O42" s="1707"/>
      <c r="P42" s="1707"/>
      <c r="Q42" s="1707"/>
      <c r="R42" s="1707"/>
      <c r="S42" s="1707"/>
      <c r="T42" s="257"/>
      <c r="U42" s="335"/>
      <c r="V42" s="1707"/>
      <c r="W42" s="1707"/>
      <c r="X42" s="1707"/>
      <c r="Y42" s="1707"/>
      <c r="Z42" s="1707"/>
      <c r="AA42" s="1707"/>
      <c r="AB42" s="1707"/>
      <c r="AC42" s="1707"/>
      <c r="AD42" s="1707"/>
      <c r="AE42" s="1707"/>
      <c r="AF42" s="1707"/>
      <c r="AG42" s="257"/>
      <c r="AH42" s="335"/>
      <c r="AI42" s="1707"/>
      <c r="AJ42" s="1707"/>
      <c r="AK42" s="1707"/>
      <c r="AL42" s="1707"/>
      <c r="AM42" s="1707"/>
      <c r="AN42" s="1707"/>
      <c r="AO42" s="1707"/>
      <c r="AP42" s="1707"/>
      <c r="AQ42" s="1707"/>
      <c r="AR42" s="1707"/>
      <c r="AS42" s="1707"/>
      <c r="AT42" s="1706"/>
      <c r="AU42" s="1706"/>
      <c r="AV42" s="335"/>
      <c r="AW42" s="214"/>
      <c r="AX42" s="214"/>
      <c r="AY42" s="335"/>
      <c r="AZ42" s="335"/>
      <c r="BA42" s="335"/>
      <c r="BB42" s="335"/>
    </row>
    <row r="43" spans="1:54" s="313" customFormat="1" ht="6" customHeight="1" x14ac:dyDescent="0.35">
      <c r="D43" s="1143"/>
      <c r="E43" s="311"/>
      <c r="F43" s="1074"/>
      <c r="G43" s="1184"/>
      <c r="H43" s="1071"/>
      <c r="I43" s="270"/>
      <c r="J43" s="311"/>
      <c r="K43" s="311"/>
      <c r="L43" s="311"/>
      <c r="M43" s="311"/>
      <c r="N43" s="311"/>
      <c r="O43" s="311"/>
      <c r="P43" s="311"/>
      <c r="Q43" s="311"/>
      <c r="R43" s="311"/>
      <c r="S43" s="311"/>
      <c r="T43" s="335"/>
      <c r="U43" s="335"/>
      <c r="V43" s="270"/>
      <c r="W43" s="311"/>
      <c r="X43" s="311"/>
      <c r="Y43" s="311"/>
      <c r="Z43" s="311"/>
      <c r="AA43" s="311"/>
      <c r="AB43" s="311"/>
      <c r="AC43" s="311"/>
      <c r="AD43" s="311"/>
      <c r="AE43" s="311"/>
      <c r="AF43" s="311"/>
      <c r="AG43" s="335"/>
      <c r="AH43" s="335"/>
      <c r="AI43" s="270"/>
      <c r="AJ43" s="311"/>
      <c r="AK43" s="311"/>
      <c r="AL43" s="311"/>
      <c r="AM43" s="311"/>
      <c r="AN43" s="311"/>
      <c r="AO43" s="311"/>
      <c r="AP43" s="311"/>
      <c r="AQ43" s="311"/>
      <c r="AR43" s="311"/>
      <c r="AS43" s="311"/>
      <c r="AT43" s="1154"/>
      <c r="AU43" s="1154"/>
      <c r="AV43" s="335"/>
      <c r="AW43" s="214"/>
      <c r="AX43" s="214"/>
      <c r="AY43" s="335"/>
      <c r="AZ43" s="335"/>
      <c r="BA43" s="335"/>
      <c r="BB43" s="335"/>
    </row>
    <row r="44" spans="1:54" s="313" customFormat="1" ht="15" customHeight="1" x14ac:dyDescent="0.35">
      <c r="D44" s="230">
        <f>YEAR(Control!$H$18)</f>
        <v>2025</v>
      </c>
      <c r="E44" s="166" t="s">
        <v>305</v>
      </c>
      <c r="F44" s="312"/>
      <c r="G44" s="257" t="s">
        <v>326</v>
      </c>
      <c r="H44" s="257"/>
      <c r="I44" s="347">
        <f>SUMIFS('CT Capital Costs'!$K:$K, 'CT Capital Costs'!$AB:$AB, I$36)*$I$12</f>
        <v>465237.73447830498</v>
      </c>
      <c r="J44" s="347">
        <f>SUMIFS('CT Capital Costs'!$L:$L, 'CT Capital Costs'!$AB:$AB, J$36)*$J$12</f>
        <v>182173.78140138413</v>
      </c>
      <c r="K44" s="342">
        <f>SUMIFS('CT Capital Costs'!$L:$L, 'CT Capital Costs'!$AB:$AB, K$36)*$J$13*(1-$J$14)</f>
        <v>6401204.7034981903</v>
      </c>
      <c r="L44" s="342">
        <f>J44+K44</f>
        <v>6583378.484899574</v>
      </c>
      <c r="M44" s="342">
        <f>SUMIFS('CT Capital Costs'!$M:$M, 'CT Capital Costs'!$AB:$AB, M$36)*$K$12</f>
        <v>267612.3117835687</v>
      </c>
      <c r="N44" s="1675">
        <f>N46</f>
        <v>0.98299999999999998</v>
      </c>
      <c r="O44" s="342">
        <f>IFERROR((SUMIFS('CT Capital Costs'!$M:$M, 'CT Capital Costs'!$AB:$AB, O$36))*$N$44*$K$13,0)</f>
        <v>5998582.480333156</v>
      </c>
      <c r="P44" s="347">
        <f>SUMIFS('CT Capital Costs'!$M:$M, 'CT Capital Costs'!$AB:$AB, P$36)*$L$12</f>
        <v>418994.45104788861</v>
      </c>
      <c r="Q44" s="347">
        <f>AVERAGE(M44+O44,P44)</f>
        <v>3342594.6215823069</v>
      </c>
      <c r="R44" s="347">
        <f>SUMIFS('CT Capital Costs'!$N:$N, 'CT Capital Costs'!$AB:$AB, R$36)*$M$12</f>
        <v>586328.04595785239</v>
      </c>
      <c r="S44" s="347">
        <f>SUMIFS('CT Capital Costs'!$O:$O, 'CT Capital Costs'!$AB:$AB, S$36)*$N$12</f>
        <v>438666.59502814809</v>
      </c>
      <c r="T44" s="347"/>
      <c r="U44" s="1071"/>
      <c r="V44" s="347">
        <f>SUMIFS('CC Capital Costs'!$K:$K, 'CC Capital Costs'!$AB:$AB, V$36)*$I$12</f>
        <v>3223123.0996250268</v>
      </c>
      <c r="W44" s="347">
        <f>SUMIFS('CC Capital Costs'!$L:$L, 'CC Capital Costs'!$AB:$AB, W$36)*$J$12</f>
        <v>1262766.9134083048</v>
      </c>
      <c r="X44" s="342">
        <f>SUMIFS('CC Capital Costs'!$L:$L, 'CC Capital Costs'!$AB:$AB, X$36)*$J$13*(1-$J$14)</f>
        <v>21590449.965719447</v>
      </c>
      <c r="Y44" s="342">
        <f>W44+X44</f>
        <v>22853216.879127752</v>
      </c>
      <c r="Z44" s="342">
        <f>SUMIFS('CC Capital Costs'!$M:$M, 'CC Capital Costs'!$AB:$AB, Z$36)*$K$12</f>
        <v>1864591.453467404</v>
      </c>
      <c r="AA44" s="1675">
        <f>AA46</f>
        <v>0.98299999999999998</v>
      </c>
      <c r="AB44" s="342">
        <f>IFERROR((SUMIFS('CC Capital Costs'!$M:$M, 'CC Capital Costs'!$AB:$AB, AB$36))*$K$13*$AA$44,0)</f>
        <v>20236944.051185291</v>
      </c>
      <c r="AC44" s="347">
        <f>SUMIFS('CC Capital Costs'!$M:$M, 'CC Capital Costs'!$AB:$AB, AC$36)*$L$12</f>
        <v>2919348.0197801888</v>
      </c>
      <c r="AD44" s="347">
        <f>AVERAGE(Z44+AB44,AC44)</f>
        <v>12510441.762216441</v>
      </c>
      <c r="AE44" s="347">
        <f>SUMIFS('CC Capital Costs'!$N:$N, 'CC Capital Costs'!$AB:$AB, AE$36)*$M$12</f>
        <v>4067205.9832050465</v>
      </c>
      <c r="AF44" s="347">
        <f>SUMIFS('CC Capital Costs'!$O:$O, 'CC Capital Costs'!$AB:$AB, AF$36)*$N$12</f>
        <v>3036034.9818217093</v>
      </c>
      <c r="AG44" s="1333"/>
      <c r="AH44" s="1071"/>
      <c r="AI44" s="347">
        <f>SUMIFS('BESS Capital Costs'!$K:$K, 'BESS Capital Costs'!$AB:$AB, AI$36)*$I$12</f>
        <v>2170899.3605743176</v>
      </c>
      <c r="AJ44" s="347">
        <f>SUMIFS('BESS Capital Costs'!$L:$L, 'BESS Capital Costs'!$AB:$AB, AJ$36)*$J$12</f>
        <v>695066.16768166109</v>
      </c>
      <c r="AK44" s="342">
        <f>SUMIFS('BESS Capital Costs'!$L:$L, 'BESS Capital Costs'!$AB:$AB, AK$36)*$J$13*(1-$J$14)</f>
        <v>3526606.5009654528</v>
      </c>
      <c r="AL44" s="342">
        <f>AJ44+AK44</f>
        <v>4221672.6686471142</v>
      </c>
      <c r="AM44" s="342">
        <f>SUMIFS('BESS Capital Costs'!$M:$M, 'BESS Capital Costs'!$AB:$AB, AM$36)*$K$12</f>
        <v>1050523.6260186676</v>
      </c>
      <c r="AN44" s="1675">
        <f>AN46</f>
        <v>0.98299999999999998</v>
      </c>
      <c r="AO44" s="342">
        <f>IFERROR((SUMIFS('BESS Capital Costs'!$M:$M, 'BESS Capital Costs'!$AB:$AB, AO$36))*$K$13*$AN$44,0)</f>
        <v>3313823.1363097141</v>
      </c>
      <c r="AP44" s="347">
        <f>SUMIFS('BESS Capital Costs'!$M:$M, 'BESS Capital Costs'!$AB:$AB, AP$36)*$L$12</f>
        <v>1644780.7167874663</v>
      </c>
      <c r="AQ44" s="347">
        <f>AVERAGE(AM44+AO44,AP44)</f>
        <v>3004563.7395579237</v>
      </c>
      <c r="AR44" s="347">
        <f>SUMIFS('BESS Capital Costs'!$N:$N, 'BESS Capital Costs'!$AB:$AB, AR$36)*$M$12</f>
        <v>2449628.4779024022</v>
      </c>
      <c r="AS44" s="347">
        <f>SUMIFS('BESS Capital Costs'!$O:$O, 'BESS Capital Costs'!$AB:$AB, AS$36)*$N$12</f>
        <v>2366797.6817996753</v>
      </c>
      <c r="AT44" s="347"/>
      <c r="AU44" s="347"/>
      <c r="AV44" s="1071"/>
      <c r="AW44" s="214"/>
      <c r="AX44" s="214"/>
      <c r="AY44" s="1071"/>
      <c r="AZ44" s="1071"/>
      <c r="BA44" s="1071"/>
      <c r="BB44" s="1071"/>
    </row>
    <row r="45" spans="1:54" s="313" customFormat="1" ht="6" customHeight="1" x14ac:dyDescent="0.35">
      <c r="D45" s="230"/>
      <c r="F45" s="312"/>
      <c r="G45" s="1071"/>
      <c r="H45" s="1071"/>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214"/>
      <c r="AX45" s="214"/>
      <c r="AY45" s="335"/>
      <c r="AZ45" s="335"/>
      <c r="BA45" s="335"/>
      <c r="BB45" s="335"/>
    </row>
    <row r="46" spans="1:54" s="313" customFormat="1" ht="15" customHeight="1" x14ac:dyDescent="0.35">
      <c r="A46" s="345"/>
      <c r="D46" s="230">
        <f>YEAR(Control!$H$19)</f>
        <v>2028</v>
      </c>
      <c r="E46" s="313">
        <f>D46-YEAR(Control!$H$19)+1</f>
        <v>1</v>
      </c>
      <c r="F46" s="312"/>
      <c r="G46" s="1150">
        <f ca="1">OFFSET('Annual FOM Costs'!$H$34,,($E46-1))</f>
        <v>1.0119433265519673</v>
      </c>
      <c r="H46" s="1150"/>
      <c r="I46" s="347">
        <f t="shared" ref="I46:I72" ca="1" si="6">I$18*$G46*$I$12</f>
        <v>483657.18342174165</v>
      </c>
      <c r="J46" s="347">
        <f t="shared" ref="J46:J72" ca="1" si="7">J$18*$G46*$J$12</f>
        <v>189386.31043048005</v>
      </c>
      <c r="K46" s="342">
        <f t="shared" ref="K46:K72" si="8">IFERROR(J$22*MAX(1-($E46*$J$14),$J$15)*$J$13,0)</f>
        <v>6485543.3049432505</v>
      </c>
      <c r="L46" s="342">
        <f ca="1">K46+J46</f>
        <v>6674929.6153737307</v>
      </c>
      <c r="M46" s="342">
        <f t="shared" ref="M46:M72" ca="1" si="9">IFERROR(K$18*$G46*$K$12,0)</f>
        <v>278207.47840103996</v>
      </c>
      <c r="N46" s="1296">
        <v>0.98299999999999998</v>
      </c>
      <c r="O46" s="342">
        <f t="shared" ref="O46:O72" si="10">IFERROR(K$22*N46*$K$13,0)</f>
        <v>6076007.0050490899</v>
      </c>
      <c r="P46" s="347">
        <f t="shared" ref="P46:P72" ca="1" si="11">L$18*$G46*$L$12</f>
        <v>435583.06011098204</v>
      </c>
      <c r="Q46" s="347">
        <f ca="1">AVERAGE(M46+O46,P46)</f>
        <v>3394898.7717805561</v>
      </c>
      <c r="R46" s="347">
        <f t="shared" ref="R46:R72" ca="1" si="12">M$18*$G46*$M$12</f>
        <v>609541.63915174094</v>
      </c>
      <c r="S46" s="347">
        <f t="shared" ref="S46:S72" ca="1" si="13">N$18*$G46*$N$12</f>
        <v>456034.05332207325</v>
      </c>
      <c r="T46" s="347"/>
      <c r="U46" s="335"/>
      <c r="V46" s="347">
        <f t="shared" ref="V46:V72" ca="1" si="14">I$19*$G46*$I$12</f>
        <v>3313308.5900105019</v>
      </c>
      <c r="W46" s="347">
        <f t="shared" ref="W46:W72" ca="1" si="15">J$19*$G46*$J$12</f>
        <v>1298100.1134779919</v>
      </c>
      <c r="X46" s="342">
        <f t="shared" ref="X46:X72" si="16">IFERROR(J$23*MAX(1-(($E46)*$J$14),$J$15)*$J$13,0)</f>
        <v>21605929.672827624</v>
      </c>
      <c r="Y46" s="342">
        <f ca="1">X46+W46</f>
        <v>22904029.786305614</v>
      </c>
      <c r="Z46" s="342">
        <f t="shared" ref="Z46:Z72" ca="1" si="17">IFERROR(K$19*$G46*$K$12,0)</f>
        <v>1916764.1721014166</v>
      </c>
      <c r="AA46" s="1296">
        <v>0.98299999999999998</v>
      </c>
      <c r="AB46" s="342">
        <f t="shared" ref="AB46:AB72" si="18">IFERROR(K$23*AA46*$K$13,0)</f>
        <v>20246529.948638186</v>
      </c>
      <c r="AC46" s="347">
        <f t="shared" ref="AC46:AC72" ca="1" si="19">L$19*$G46*$L$12</f>
        <v>3001033.6472389637</v>
      </c>
      <c r="AD46" s="347">
        <f ca="1">AVERAGE(Z46+AB46,AC46)</f>
        <v>12582163.883989282</v>
      </c>
      <c r="AE46" s="347">
        <f t="shared" ref="AE46:AE72" ca="1" si="20">M$19*$G46*$M$12</f>
        <v>4181009.5689684195</v>
      </c>
      <c r="AF46" s="347">
        <f t="shared" ref="AF46:AF72" ca="1" si="21">N$19*$G46*$N$12</f>
        <v>3120985.6012054062</v>
      </c>
      <c r="AG46" s="1333"/>
      <c r="AH46" s="335"/>
      <c r="AI46" s="347">
        <f t="shared" ref="AI46:AI72" ca="1" si="22">I$20*$G46*$I$12</f>
        <v>2345955.6020545447</v>
      </c>
      <c r="AJ46" s="347">
        <f t="shared" ref="AJ46:AJ72" ca="1" si="23">J$20*$G46*$J$12</f>
        <v>751114.67601151171</v>
      </c>
      <c r="AK46" s="342">
        <f t="shared" ref="AK46:AK72" si="24">IFERROR(J$24*MAX(1-(($E46)*$J$14),$J$15)*$J$13,0)</f>
        <v>3725616.6571525754</v>
      </c>
      <c r="AL46" s="342">
        <f ca="1">AK46+AJ46</f>
        <v>4476731.3331640875</v>
      </c>
      <c r="AM46" s="342">
        <f t="shared" ref="AM46:AM72" ca="1" si="25">IFERROR(K$20*$G46*$K$12,0)</f>
        <v>1135235.3915186382</v>
      </c>
      <c r="AN46" s="1296">
        <v>0.98299999999999998</v>
      </c>
      <c r="AO46" s="342">
        <f t="shared" ref="AO46:AO72" si="26">IFERROR(K$24*AN46*$K$13,0)</f>
        <v>3500823.9449439705</v>
      </c>
      <c r="AP46" s="347">
        <f t="shared" ref="AP46:AP72" ca="1" si="27">L$20*$G46*$L$12</f>
        <v>1777411.9826899981</v>
      </c>
      <c r="AQ46" s="347">
        <f ca="1">AVERAGE(AM46+AO46,AP46)</f>
        <v>3206735.6595763033</v>
      </c>
      <c r="AR46" s="347">
        <f t="shared" ref="AR46:AR72" ca="1" si="28">M$20*$G46*$M$12</f>
        <v>2647160.7827859782</v>
      </c>
      <c r="AS46" s="347">
        <f t="shared" ref="AS46:AS72" ca="1" si="29">N$20*$G46*$N$12</f>
        <v>2557650.7052260381</v>
      </c>
      <c r="AT46" s="347"/>
      <c r="AU46" s="347"/>
      <c r="AV46" s="335"/>
      <c r="AW46" s="214"/>
      <c r="AX46" s="214"/>
      <c r="AY46" s="335"/>
      <c r="AZ46" s="335"/>
      <c r="BA46" s="335"/>
      <c r="BB46" s="335"/>
    </row>
    <row r="47" spans="1:54" s="313" customFormat="1" ht="15" customHeight="1" x14ac:dyDescent="0.35">
      <c r="A47" s="345"/>
      <c r="D47" s="230">
        <f t="shared" ref="D47:D72" si="30">D46+1</f>
        <v>2029</v>
      </c>
      <c r="E47" s="313">
        <f>D47-YEAR(Control!$H$19)+1</f>
        <v>2</v>
      </c>
      <c r="F47" s="312"/>
      <c r="G47" s="1150">
        <f ca="1">OFFSET('Annual FOM Costs'!$H$34,,($E47-1))</f>
        <v>1.0362376882830169</v>
      </c>
      <c r="H47" s="1150"/>
      <c r="I47" s="347">
        <f t="shared" ca="1" si="6"/>
        <v>495268.6464943873</v>
      </c>
      <c r="J47" s="347">
        <f t="shared" ca="1" si="7"/>
        <v>193933.0270417592</v>
      </c>
      <c r="K47" s="342">
        <f t="shared" si="8"/>
        <v>6264216.5944332955</v>
      </c>
      <c r="L47" s="342">
        <f t="shared" ref="L47:L70" ca="1" si="31">K47+J47</f>
        <v>6458149.6214750549</v>
      </c>
      <c r="M47" s="342">
        <f t="shared" ca="1" si="9"/>
        <v>284886.58081637754</v>
      </c>
      <c r="N47" s="1296">
        <v>0.95</v>
      </c>
      <c r="O47" s="342">
        <f t="shared" si="10"/>
        <v>5872031.1849406259</v>
      </c>
      <c r="P47" s="347">
        <f t="shared" ca="1" si="11"/>
        <v>446040.37738220795</v>
      </c>
      <c r="Q47" s="347">
        <f t="shared" ref="Q47:Q70" ca="1" si="32">AVERAGE(M47+O47,P47)</f>
        <v>3301479.0715696057</v>
      </c>
      <c r="R47" s="347">
        <f t="shared" ca="1" si="12"/>
        <v>624175.28975562064</v>
      </c>
      <c r="S47" s="347">
        <f t="shared" ca="1" si="13"/>
        <v>466982.3504869286</v>
      </c>
      <c r="T47" s="347"/>
      <c r="U47" s="335"/>
      <c r="V47" s="347">
        <f t="shared" ca="1" si="14"/>
        <v>3392853.2792240586</v>
      </c>
      <c r="W47" s="347">
        <f t="shared" ca="1" si="15"/>
        <v>1329264.4216882219</v>
      </c>
      <c r="X47" s="342">
        <f t="shared" si="16"/>
        <v>20868602.186578076</v>
      </c>
      <c r="Y47" s="342">
        <f t="shared" ref="Y47:Y70" ca="1" si="33">X47+W47</f>
        <v>22197866.608266298</v>
      </c>
      <c r="Z47" s="342">
        <f t="shared" ca="1" si="17"/>
        <v>1962781.1385938148</v>
      </c>
      <c r="AA47" s="1296">
        <v>0.95</v>
      </c>
      <c r="AB47" s="342">
        <f t="shared" si="18"/>
        <v>19566839.726557758</v>
      </c>
      <c r="AC47" s="347">
        <f t="shared" ca="1" si="19"/>
        <v>3073081.3549317424</v>
      </c>
      <c r="AD47" s="347">
        <f t="shared" ref="AD47:AD70" ca="1" si="34">AVERAGE(Z47+AB47,AC47)</f>
        <v>12301351.110041657</v>
      </c>
      <c r="AE47" s="347">
        <f t="shared" ca="1" si="20"/>
        <v>4281385.7028924394</v>
      </c>
      <c r="AF47" s="347">
        <f t="shared" ca="1" si="21"/>
        <v>3195913.0711176135</v>
      </c>
      <c r="AG47" s="1333"/>
      <c r="AH47" s="335"/>
      <c r="AI47" s="347">
        <f t="shared" ca="1" si="22"/>
        <v>2402276.437921403</v>
      </c>
      <c r="AJ47" s="347">
        <f t="shared" ca="1" si="23"/>
        <v>769147.15980949311</v>
      </c>
      <c r="AK47" s="342">
        <f t="shared" si="24"/>
        <v>3598475.6543748761</v>
      </c>
      <c r="AL47" s="342">
        <f t="shared" ref="AL47:AL70" ca="1" si="35">AK47+AJ47</f>
        <v>4367622.8141843695</v>
      </c>
      <c r="AM47" s="342">
        <f t="shared" ca="1" si="25"/>
        <v>1162489.7036206976</v>
      </c>
      <c r="AN47" s="1296">
        <v>0.95</v>
      </c>
      <c r="AO47" s="342">
        <f t="shared" si="26"/>
        <v>3383298.8277688418</v>
      </c>
      <c r="AP47" s="347">
        <f t="shared" ca="1" si="27"/>
        <v>1820083.4332738023</v>
      </c>
      <c r="AQ47" s="347">
        <f t="shared" ref="AQ47:AQ70" ca="1" si="36">AVERAGE(AM47+AO47,AP47)</f>
        <v>3182935.9823316708</v>
      </c>
      <c r="AR47" s="347">
        <f t="shared" ca="1" si="28"/>
        <v>2710712.8414139845</v>
      </c>
      <c r="AS47" s="347">
        <f t="shared" ca="1" si="29"/>
        <v>2619053.8389629396</v>
      </c>
      <c r="AT47" s="347"/>
      <c r="AU47" s="347"/>
      <c r="AV47" s="335"/>
      <c r="AW47" s="214"/>
      <c r="AX47" s="214"/>
      <c r="AY47" s="335"/>
      <c r="AZ47" s="335"/>
      <c r="BA47" s="335"/>
      <c r="BB47" s="335"/>
    </row>
    <row r="48" spans="1:54" s="313" customFormat="1" ht="15" customHeight="1" x14ac:dyDescent="0.35">
      <c r="A48" s="345"/>
      <c r="D48" s="230">
        <f t="shared" si="30"/>
        <v>2030</v>
      </c>
      <c r="E48" s="313">
        <f>D48-YEAR(Control!$H$19)+1</f>
        <v>3</v>
      </c>
      <c r="F48" s="312"/>
      <c r="G48" s="1150">
        <f ca="1">OFFSET('Annual FOM Costs'!$H$34,,($E48-1))</f>
        <v>1.0611864037381649</v>
      </c>
      <c r="H48" s="1150"/>
      <c r="I48" s="347">
        <f t="shared" ca="1" si="6"/>
        <v>507192.85719909385</v>
      </c>
      <c r="J48" s="347">
        <f t="shared" ca="1" si="7"/>
        <v>198602.20667470354</v>
      </c>
      <c r="K48" s="342">
        <f t="shared" si="8"/>
        <v>6042889.8839233397</v>
      </c>
      <c r="L48" s="342">
        <f t="shared" ca="1" si="31"/>
        <v>6241492.0905980431</v>
      </c>
      <c r="M48" s="342">
        <f t="shared" ca="1" si="9"/>
        <v>291745.58075639582</v>
      </c>
      <c r="N48" s="1296">
        <v>0.91700000000000004</v>
      </c>
      <c r="O48" s="342">
        <f t="shared" si="10"/>
        <v>5668055.3648321629</v>
      </c>
      <c r="P48" s="347">
        <f t="shared" ca="1" si="11"/>
        <v>456779.35607661755</v>
      </c>
      <c r="Q48" s="347">
        <f t="shared" ca="1" si="32"/>
        <v>3208290.1508325883</v>
      </c>
      <c r="R48" s="347">
        <f t="shared" ca="1" si="12"/>
        <v>639203.08875803871</v>
      </c>
      <c r="S48" s="347">
        <f t="shared" ca="1" si="13"/>
        <v>478225.53331709473</v>
      </c>
      <c r="T48" s="347"/>
      <c r="U48" s="335"/>
      <c r="V48" s="347">
        <f t="shared" ca="1" si="14"/>
        <v>3474540.4558260622</v>
      </c>
      <c r="W48" s="347">
        <f t="shared" ca="1" si="15"/>
        <v>1361268.1214149718</v>
      </c>
      <c r="X48" s="342">
        <f t="shared" si="16"/>
        <v>20131274.700328533</v>
      </c>
      <c r="Y48" s="342">
        <f t="shared" ca="1" si="33"/>
        <v>21492542.821743503</v>
      </c>
      <c r="Z48" s="342">
        <f t="shared" ca="1" si="17"/>
        <v>2010037.5438386837</v>
      </c>
      <c r="AA48" s="1296">
        <v>0.91700000000000004</v>
      </c>
      <c r="AB48" s="342">
        <f t="shared" si="18"/>
        <v>18887149.504477333</v>
      </c>
      <c r="AC48" s="347">
        <f t="shared" ca="1" si="19"/>
        <v>3147069.6234165044</v>
      </c>
      <c r="AD48" s="347">
        <f t="shared" ca="1" si="34"/>
        <v>12022128.335866261</v>
      </c>
      <c r="AE48" s="347">
        <f t="shared" ca="1" si="20"/>
        <v>4384465.4063842017</v>
      </c>
      <c r="AF48" s="347">
        <f t="shared" ca="1" si="21"/>
        <v>3272858.6664499119</v>
      </c>
      <c r="AG48" s="1333"/>
      <c r="AH48" s="335"/>
      <c r="AI48" s="347">
        <f t="shared" ca="1" si="22"/>
        <v>2460114.2409389843</v>
      </c>
      <c r="AJ48" s="347">
        <f t="shared" ca="1" si="23"/>
        <v>787665.33749227715</v>
      </c>
      <c r="AK48" s="342">
        <f t="shared" si="24"/>
        <v>3471334.6515971776</v>
      </c>
      <c r="AL48" s="342">
        <f t="shared" ca="1" si="35"/>
        <v>4258999.9890894545</v>
      </c>
      <c r="AM48" s="342">
        <f t="shared" ca="1" si="25"/>
        <v>1190478.0938936162</v>
      </c>
      <c r="AN48" s="1296">
        <v>0.91700000000000004</v>
      </c>
      <c r="AO48" s="342">
        <f t="shared" si="26"/>
        <v>3265773.7105937139</v>
      </c>
      <c r="AP48" s="347">
        <f t="shared" ca="1" si="27"/>
        <v>1863904.2131921784</v>
      </c>
      <c r="AQ48" s="347">
        <f t="shared" ca="1" si="36"/>
        <v>3160078.0088397544</v>
      </c>
      <c r="AR48" s="347">
        <f t="shared" ca="1" si="28"/>
        <v>2775976.6357400813</v>
      </c>
      <c r="AS48" s="347">
        <f t="shared" ca="1" si="29"/>
        <v>2682110.8284247559</v>
      </c>
      <c r="AT48" s="347"/>
      <c r="AU48" s="347"/>
      <c r="AV48" s="335"/>
      <c r="AW48" s="214"/>
      <c r="AX48" s="214"/>
      <c r="AY48" s="335"/>
      <c r="AZ48" s="335"/>
      <c r="BA48" s="335"/>
      <c r="BB48" s="335"/>
    </row>
    <row r="49" spans="1:54" s="313" customFormat="1" ht="15" customHeight="1" x14ac:dyDescent="0.35">
      <c r="A49" s="345"/>
      <c r="D49" s="230">
        <f t="shared" si="30"/>
        <v>2031</v>
      </c>
      <c r="E49" s="313">
        <f>D49-YEAR(Control!$H$19)+1</f>
        <v>4</v>
      </c>
      <c r="F49" s="312"/>
      <c r="G49" s="1150">
        <f ca="1">OFFSET('Annual FOM Costs'!$H$34,,($E49-1))</f>
        <v>1.0868622526927949</v>
      </c>
      <c r="H49" s="1150"/>
      <c r="I49" s="347">
        <f t="shared" ca="1" si="6"/>
        <v>519464.60054827115</v>
      </c>
      <c r="J49" s="347">
        <f t="shared" ca="1" si="7"/>
        <v>203407.47014460198</v>
      </c>
      <c r="K49" s="342">
        <f t="shared" si="8"/>
        <v>5821563.1734133838</v>
      </c>
      <c r="L49" s="342">
        <f t="shared" ca="1" si="31"/>
        <v>6024970.6435579853</v>
      </c>
      <c r="M49" s="342">
        <f t="shared" ca="1" si="9"/>
        <v>298804.48712599749</v>
      </c>
      <c r="N49" s="1296">
        <v>0.88300000000000001</v>
      </c>
      <c r="O49" s="342">
        <f t="shared" si="10"/>
        <v>5457898.4592658663</v>
      </c>
      <c r="P49" s="347">
        <f t="shared" ca="1" si="11"/>
        <v>467831.32367712801</v>
      </c>
      <c r="Q49" s="347">
        <f t="shared" ca="1" si="32"/>
        <v>3112267.135034496</v>
      </c>
      <c r="R49" s="347">
        <f t="shared" ca="1" si="12"/>
        <v>654668.87488239049</v>
      </c>
      <c r="S49" s="347">
        <f t="shared" ca="1" si="13"/>
        <v>489796.40014731727</v>
      </c>
      <c r="T49" s="347"/>
      <c r="U49" s="335"/>
      <c r="V49" s="347">
        <f t="shared" ca="1" si="14"/>
        <v>3558608.4156267922</v>
      </c>
      <c r="W49" s="347">
        <f t="shared" ca="1" si="15"/>
        <v>1394204.573059171</v>
      </c>
      <c r="X49" s="342">
        <f t="shared" si="16"/>
        <v>19393947.214078985</v>
      </c>
      <c r="Y49" s="342">
        <f t="shared" ca="1" si="33"/>
        <v>20788151.787138157</v>
      </c>
      <c r="Z49" s="342">
        <f t="shared" ca="1" si="17"/>
        <v>2058671.2430520705</v>
      </c>
      <c r="AA49" s="1296">
        <v>0.88300000000000001</v>
      </c>
      <c r="AB49" s="342">
        <f t="shared" si="18"/>
        <v>18186862.609000526</v>
      </c>
      <c r="AC49" s="347">
        <f t="shared" ca="1" si="19"/>
        <v>3223214.289439274</v>
      </c>
      <c r="AD49" s="347">
        <f t="shared" ca="1" si="34"/>
        <v>11734374.070745934</v>
      </c>
      <c r="AE49" s="347">
        <f t="shared" ca="1" si="20"/>
        <v>4490549.381004082</v>
      </c>
      <c r="AF49" s="347">
        <f t="shared" ca="1" si="21"/>
        <v>3352046.8509890288</v>
      </c>
      <c r="AG49" s="1333"/>
      <c r="AH49" s="335"/>
      <c r="AI49" s="347">
        <f t="shared" ca="1" si="22"/>
        <v>2519637.7341150893</v>
      </c>
      <c r="AJ49" s="347">
        <f t="shared" ca="1" si="23"/>
        <v>806723.22982957796</v>
      </c>
      <c r="AK49" s="342">
        <f t="shared" si="24"/>
        <v>3344193.6488194782</v>
      </c>
      <c r="AL49" s="342">
        <f t="shared" ca="1" si="35"/>
        <v>4150916.878649056</v>
      </c>
      <c r="AM49" s="342">
        <f t="shared" ca="1" si="25"/>
        <v>1219282.2093769412</v>
      </c>
      <c r="AN49" s="1296">
        <v>0.88300000000000001</v>
      </c>
      <c r="AO49" s="342">
        <f t="shared" si="26"/>
        <v>3144687.2262314605</v>
      </c>
      <c r="AP49" s="347">
        <f t="shared" ca="1" si="27"/>
        <v>1909002.1553399835</v>
      </c>
      <c r="AQ49" s="347">
        <f t="shared" ca="1" si="36"/>
        <v>3136485.7954741926</v>
      </c>
      <c r="AR49" s="347">
        <f t="shared" ca="1" si="28"/>
        <v>2843142.5516901612</v>
      </c>
      <c r="AS49" s="347">
        <f t="shared" ca="1" si="29"/>
        <v>2747005.621900836</v>
      </c>
      <c r="AT49" s="347"/>
      <c r="AU49" s="347"/>
      <c r="AV49" s="335"/>
      <c r="AW49" s="214"/>
      <c r="AX49" s="214"/>
      <c r="AY49" s="335"/>
      <c r="AZ49" s="335"/>
      <c r="BA49" s="335"/>
      <c r="BB49" s="335"/>
    </row>
    <row r="50" spans="1:54" s="313" customFormat="1" ht="15" customHeight="1" x14ac:dyDescent="0.35">
      <c r="A50" s="345"/>
      <c r="D50" s="230">
        <f t="shared" si="30"/>
        <v>2032</v>
      </c>
      <c r="E50" s="313">
        <f>D50-YEAR(Control!$H$19)+1</f>
        <v>5</v>
      </c>
      <c r="F50" s="312"/>
      <c r="G50" s="1150">
        <f ca="1">OFFSET('Annual FOM Costs'!$H$34,,($E50-1))</f>
        <v>1.1133113151847227</v>
      </c>
      <c r="H50" s="1150"/>
      <c r="I50" s="347">
        <f t="shared" ca="1" si="6"/>
        <v>532105.90044455987</v>
      </c>
      <c r="J50" s="347">
        <f t="shared" ca="1" si="7"/>
        <v>208357.44138138957</v>
      </c>
      <c r="K50" s="342">
        <f t="shared" si="8"/>
        <v>5600236.4629034279</v>
      </c>
      <c r="L50" s="342">
        <f t="shared" ca="1" si="31"/>
        <v>5808593.9042848172</v>
      </c>
      <c r="M50" s="342">
        <f t="shared" ca="1" si="9"/>
        <v>306075.96843219182</v>
      </c>
      <c r="N50" s="1296">
        <v>0.85</v>
      </c>
      <c r="O50" s="342">
        <f t="shared" si="10"/>
        <v>5253922.6391574023</v>
      </c>
      <c r="P50" s="347">
        <f t="shared" ca="1" si="11"/>
        <v>479216.11497424106</v>
      </c>
      <c r="Q50" s="347">
        <f t="shared" ca="1" si="32"/>
        <v>3019607.3612819174</v>
      </c>
      <c r="R50" s="347">
        <f t="shared" ca="1" si="12"/>
        <v>670600.40432909271</v>
      </c>
      <c r="S50" s="347">
        <f t="shared" ca="1" si="13"/>
        <v>501715.71702829405</v>
      </c>
      <c r="T50" s="347"/>
      <c r="U50" s="335"/>
      <c r="V50" s="347">
        <f t="shared" ca="1" si="14"/>
        <v>3645208.0340568353</v>
      </c>
      <c r="W50" s="347">
        <f t="shared" ca="1" si="15"/>
        <v>1428132.8871468224</v>
      </c>
      <c r="X50" s="342">
        <f t="shared" si="16"/>
        <v>18656619.727829438</v>
      </c>
      <c r="Y50" s="342">
        <f t="shared" ca="1" si="33"/>
        <v>20084752.614976261</v>
      </c>
      <c r="Z50" s="342">
        <f t="shared" ca="1" si="17"/>
        <v>2108769.5183605696</v>
      </c>
      <c r="AA50" s="1296">
        <v>0.85</v>
      </c>
      <c r="AB50" s="342">
        <f t="shared" si="18"/>
        <v>17507172.386920098</v>
      </c>
      <c r="AC50" s="347">
        <f t="shared" ca="1" si="19"/>
        <v>3301652.0086212931</v>
      </c>
      <c r="AD50" s="347">
        <f t="shared" ca="1" si="34"/>
        <v>11458796.956950981</v>
      </c>
      <c r="AE50" s="347">
        <f t="shared" ca="1" si="20"/>
        <v>4599828.0139743583</v>
      </c>
      <c r="AF50" s="347">
        <f t="shared" ca="1" si="21"/>
        <v>3433619.7425104887</v>
      </c>
      <c r="AG50" s="1333"/>
      <c r="AH50" s="335"/>
      <c r="AI50" s="347">
        <f t="shared" ca="1" si="22"/>
        <v>2580953.743316364</v>
      </c>
      <c r="AJ50" s="347">
        <f t="shared" ca="1" si="23"/>
        <v>826355.03971771046</v>
      </c>
      <c r="AK50" s="342">
        <f t="shared" si="24"/>
        <v>3217052.6460417793</v>
      </c>
      <c r="AL50" s="342">
        <f t="shared" ca="1" si="35"/>
        <v>4043407.6857594899</v>
      </c>
      <c r="AM50" s="342">
        <f t="shared" ca="1" si="25"/>
        <v>1248953.7443586807</v>
      </c>
      <c r="AN50" s="1296">
        <v>0.85</v>
      </c>
      <c r="AO50" s="342">
        <f t="shared" si="26"/>
        <v>3027162.1090563321</v>
      </c>
      <c r="AP50" s="347">
        <f t="shared" ca="1" si="27"/>
        <v>1955458.1962768319</v>
      </c>
      <c r="AQ50" s="347">
        <f t="shared" ca="1" si="36"/>
        <v>3115787.0248459224</v>
      </c>
      <c r="AR50" s="347">
        <f t="shared" ca="1" si="28"/>
        <v>2912331.1308654901</v>
      </c>
      <c r="AS50" s="347">
        <f t="shared" ca="1" si="29"/>
        <v>2813854.6850450579</v>
      </c>
      <c r="AT50" s="347"/>
      <c r="AU50" s="347"/>
      <c r="AV50" s="335"/>
      <c r="AW50" s="214"/>
      <c r="AX50" s="214"/>
      <c r="AY50" s="335"/>
      <c r="AZ50" s="335"/>
      <c r="BA50" s="335"/>
      <c r="BB50" s="335"/>
    </row>
    <row r="51" spans="1:54" s="313" customFormat="1" ht="15" customHeight="1" x14ac:dyDescent="0.35">
      <c r="A51" s="345"/>
      <c r="D51" s="230">
        <f t="shared" si="30"/>
        <v>2033</v>
      </c>
      <c r="E51" s="313">
        <f>D51-YEAR(Control!$H$19)+1</f>
        <v>6</v>
      </c>
      <c r="F51" s="312"/>
      <c r="G51" s="1150">
        <f ca="1">OFFSET('Annual FOM Costs'!$H$34,,($E51-1))</f>
        <v>1.1405658513157242</v>
      </c>
      <c r="H51" s="1150"/>
      <c r="I51" s="347">
        <f t="shared" ca="1" si="6"/>
        <v>545132.17556759587</v>
      </c>
      <c r="J51" s="347">
        <f t="shared" ca="1" si="7"/>
        <v>213458.15789871869</v>
      </c>
      <c r="K51" s="342">
        <f t="shared" si="8"/>
        <v>5378909.7523934729</v>
      </c>
      <c r="L51" s="342">
        <f t="shared" ca="1" si="31"/>
        <v>5592367.9102921914</v>
      </c>
      <c r="M51" s="342">
        <f t="shared" ca="1" si="9"/>
        <v>313568.89375028433</v>
      </c>
      <c r="N51" s="1296">
        <v>0.81699999999999995</v>
      </c>
      <c r="O51" s="342">
        <f t="shared" si="10"/>
        <v>5049946.8190489383</v>
      </c>
      <c r="P51" s="347">
        <f t="shared" ca="1" si="11"/>
        <v>490947.61607549107</v>
      </c>
      <c r="Q51" s="347">
        <f t="shared" ca="1" si="32"/>
        <v>2927231.6644373573</v>
      </c>
      <c r="R51" s="347">
        <f t="shared" ca="1" si="12"/>
        <v>687017.10889318748</v>
      </c>
      <c r="S51" s="347">
        <f t="shared" ca="1" si="13"/>
        <v>513998.02203205676</v>
      </c>
      <c r="T51" s="347"/>
      <c r="U51" s="335"/>
      <c r="V51" s="347">
        <f t="shared" ca="1" si="14"/>
        <v>3734444.9372609807</v>
      </c>
      <c r="W51" s="347">
        <f t="shared" ca="1" si="15"/>
        <v>1463094.4462738454</v>
      </c>
      <c r="X51" s="342">
        <f t="shared" si="16"/>
        <v>17919292.241579894</v>
      </c>
      <c r="Y51" s="342">
        <f t="shared" ca="1" si="33"/>
        <v>19382386.687853739</v>
      </c>
      <c r="Z51" s="342">
        <f t="shared" ca="1" si="17"/>
        <v>2160393.4749720017</v>
      </c>
      <c r="AA51" s="1296">
        <v>0.81699999999999995</v>
      </c>
      <c r="AB51" s="342">
        <f t="shared" si="18"/>
        <v>16827482.16483967</v>
      </c>
      <c r="AC51" s="347">
        <f t="shared" ca="1" si="19"/>
        <v>3382478.451983213</v>
      </c>
      <c r="AD51" s="347">
        <f t="shared" ca="1" si="34"/>
        <v>11185177.045897443</v>
      </c>
      <c r="AE51" s="347">
        <f t="shared" ca="1" si="20"/>
        <v>4712434.5931884181</v>
      </c>
      <c r="AF51" s="347">
        <f t="shared" ca="1" si="21"/>
        <v>3517676.836026012</v>
      </c>
      <c r="AG51" s="1333"/>
      <c r="AH51" s="335"/>
      <c r="AI51" s="347">
        <f t="shared" ca="1" si="22"/>
        <v>2644137.0560971093</v>
      </c>
      <c r="AJ51" s="347">
        <f t="shared" ca="1" si="23"/>
        <v>846584.71220898908</v>
      </c>
      <c r="AK51" s="342">
        <f t="shared" si="24"/>
        <v>3089911.6432640804</v>
      </c>
      <c r="AL51" s="342">
        <f t="shared" ca="1" si="35"/>
        <v>3936496.3554730695</v>
      </c>
      <c r="AM51" s="342">
        <f t="shared" ca="1" si="25"/>
        <v>1279528.8894122683</v>
      </c>
      <c r="AN51" s="1296">
        <v>0.81699999999999995</v>
      </c>
      <c r="AO51" s="342">
        <f t="shared" si="26"/>
        <v>2909636.9918812043</v>
      </c>
      <c r="AP51" s="347">
        <f t="shared" ca="1" si="27"/>
        <v>2003328.9987524603</v>
      </c>
      <c r="AQ51" s="347">
        <f t="shared" ca="1" si="36"/>
        <v>3096247.4400229668</v>
      </c>
      <c r="AR51" s="347">
        <f t="shared" ca="1" si="28"/>
        <v>2983626.7630476207</v>
      </c>
      <c r="AS51" s="347">
        <f t="shared" ca="1" si="29"/>
        <v>2882739.5541153266</v>
      </c>
      <c r="AT51" s="347"/>
      <c r="AU51" s="347"/>
      <c r="AV51" s="335"/>
      <c r="AW51" s="214"/>
      <c r="AX51" s="214"/>
      <c r="AY51" s="335"/>
      <c r="AZ51" s="335"/>
      <c r="BA51" s="335"/>
      <c r="BB51" s="335"/>
    </row>
    <row r="52" spans="1:54" s="313" customFormat="1" ht="15" customHeight="1" x14ac:dyDescent="0.35">
      <c r="A52" s="345"/>
      <c r="D52" s="230">
        <f t="shared" si="30"/>
        <v>2034</v>
      </c>
      <c r="E52" s="313">
        <f>D52-YEAR(Control!$H$19)+1</f>
        <v>7</v>
      </c>
      <c r="F52" s="312"/>
      <c r="G52" s="1150">
        <f ca="1">OFFSET('Annual FOM Costs'!$H$34,,($E52-1))</f>
        <v>1.1686513336754294</v>
      </c>
      <c r="H52" s="1150"/>
      <c r="I52" s="347">
        <f t="shared" ca="1" si="6"/>
        <v>558555.60051316128</v>
      </c>
      <c r="J52" s="347">
        <f t="shared" ca="1" si="7"/>
        <v>218714.38691985223</v>
      </c>
      <c r="K52" s="342">
        <f t="shared" si="8"/>
        <v>5157583.0418835161</v>
      </c>
      <c r="L52" s="342">
        <f t="shared" ca="1" si="31"/>
        <v>5376297.4288033685</v>
      </c>
      <c r="M52" s="342">
        <f t="shared" ca="1" si="9"/>
        <v>321290.2661057837</v>
      </c>
      <c r="N52" s="1296">
        <v>0.78300000000000003</v>
      </c>
      <c r="O52" s="342">
        <f t="shared" si="10"/>
        <v>4839789.9134826437</v>
      </c>
      <c r="P52" s="347">
        <f t="shared" ca="1" si="11"/>
        <v>503036.79145709786</v>
      </c>
      <c r="Q52" s="347">
        <f t="shared" ca="1" si="32"/>
        <v>2832058.4855227629</v>
      </c>
      <c r="R52" s="347">
        <f t="shared" ca="1" si="12"/>
        <v>703934.33192803187</v>
      </c>
      <c r="S52" s="347">
        <f t="shared" ca="1" si="13"/>
        <v>526654.79442626075</v>
      </c>
      <c r="T52" s="347"/>
      <c r="U52" s="335"/>
      <c r="V52" s="347">
        <f t="shared" ca="1" si="14"/>
        <v>3826402.5276865955</v>
      </c>
      <c r="W52" s="347">
        <f t="shared" ca="1" si="15"/>
        <v>1499121.9261549981</v>
      </c>
      <c r="X52" s="342">
        <f t="shared" si="16"/>
        <v>17181964.755330343</v>
      </c>
      <c r="Y52" s="342">
        <f t="shared" ca="1" si="33"/>
        <v>18681086.68148534</v>
      </c>
      <c r="Z52" s="342">
        <f t="shared" ca="1" si="17"/>
        <v>2213591.3615835942</v>
      </c>
      <c r="AA52" s="1296">
        <v>0.78300000000000003</v>
      </c>
      <c r="AB52" s="342">
        <f t="shared" si="18"/>
        <v>16127195.269362869</v>
      </c>
      <c r="AC52" s="347">
        <f t="shared" ca="1" si="19"/>
        <v>3465769.1614022879</v>
      </c>
      <c r="AD52" s="347">
        <f t="shared" ca="1" si="34"/>
        <v>10903277.896174377</v>
      </c>
      <c r="AE52" s="347">
        <f t="shared" ca="1" si="20"/>
        <v>4828474.3628216935</v>
      </c>
      <c r="AF52" s="347">
        <f t="shared" ca="1" si="21"/>
        <v>3604296.6928377729</v>
      </c>
      <c r="AG52" s="1333"/>
      <c r="AH52" s="335"/>
      <c r="AI52" s="347">
        <f t="shared" ca="1" si="22"/>
        <v>2709246.7247409597</v>
      </c>
      <c r="AJ52" s="347">
        <f t="shared" ca="1" si="23"/>
        <v>867431.15432656906</v>
      </c>
      <c r="AK52" s="342">
        <f t="shared" si="24"/>
        <v>2962770.6404863815</v>
      </c>
      <c r="AL52" s="342">
        <f t="shared" ca="1" si="35"/>
        <v>3830201.7948129503</v>
      </c>
      <c r="AM52" s="342">
        <f t="shared" ca="1" si="25"/>
        <v>1311036.2206293712</v>
      </c>
      <c r="AN52" s="1296">
        <v>0.78300000000000003</v>
      </c>
      <c r="AO52" s="342">
        <f t="shared" si="26"/>
        <v>2788550.5075189508</v>
      </c>
      <c r="AP52" s="347">
        <f t="shared" ca="1" si="27"/>
        <v>2052659.3036973639</v>
      </c>
      <c r="AQ52" s="347">
        <f t="shared" ca="1" si="36"/>
        <v>3076123.015922843</v>
      </c>
      <c r="AR52" s="347">
        <f t="shared" ca="1" si="28"/>
        <v>3057096.0824427726</v>
      </c>
      <c r="AS52" s="347">
        <f t="shared" ca="1" si="29"/>
        <v>2953724.6101744166</v>
      </c>
      <c r="AT52" s="347"/>
      <c r="AU52" s="347"/>
      <c r="AV52" s="335"/>
      <c r="AW52" s="214"/>
      <c r="AX52" s="214"/>
      <c r="AY52" s="335"/>
      <c r="AZ52" s="335"/>
      <c r="BA52" s="335"/>
      <c r="BB52" s="335"/>
    </row>
    <row r="53" spans="1:54" s="313" customFormat="1" ht="15" customHeight="1" x14ac:dyDescent="0.35">
      <c r="A53" s="345"/>
      <c r="D53" s="230">
        <f t="shared" si="30"/>
        <v>2035</v>
      </c>
      <c r="E53" s="313">
        <f>D53-YEAR(Control!$H$19)+1</f>
        <v>8</v>
      </c>
      <c r="F53" s="312"/>
      <c r="G53" s="1150">
        <f ca="1">OFFSET('Annual FOM Costs'!$H$34,,($E53-1))</f>
        <v>1.1975899341835385</v>
      </c>
      <c r="H53" s="1150"/>
      <c r="I53" s="347">
        <f t="shared" ca="1" si="6"/>
        <v>572386.7723255289</v>
      </c>
      <c r="J53" s="347">
        <f t="shared" ca="1" si="7"/>
        <v>224130.27794403301</v>
      </c>
      <c r="K53" s="342">
        <f t="shared" si="8"/>
        <v>4936256.3313735612</v>
      </c>
      <c r="L53" s="342">
        <f t="shared" ca="1" si="31"/>
        <v>5160386.6093175942</v>
      </c>
      <c r="M53" s="342">
        <f t="shared" ca="1" si="9"/>
        <v>329246.18109091272</v>
      </c>
      <c r="N53" s="1296">
        <v>0.75</v>
      </c>
      <c r="O53" s="342">
        <f t="shared" si="10"/>
        <v>4635814.0933741787</v>
      </c>
      <c r="P53" s="347">
        <f t="shared" ca="1" si="11"/>
        <v>515493.1848478241</v>
      </c>
      <c r="Q53" s="347">
        <f t="shared" ca="1" si="32"/>
        <v>2740276.7296564579</v>
      </c>
      <c r="R53" s="347">
        <f t="shared" ca="1" si="12"/>
        <v>721365.42863635567</v>
      </c>
      <c r="S53" s="347">
        <f t="shared" ca="1" si="13"/>
        <v>539696.02602580877</v>
      </c>
      <c r="T53" s="347"/>
      <c r="U53" s="335"/>
      <c r="V53" s="347">
        <f t="shared" ca="1" si="14"/>
        <v>3921153.4007153297</v>
      </c>
      <c r="W53" s="347">
        <f t="shared" ca="1" si="15"/>
        <v>1536243.7684734489</v>
      </c>
      <c r="X53" s="342">
        <f t="shared" si="16"/>
        <v>16444637.269080797</v>
      </c>
      <c r="Y53" s="342">
        <f t="shared" ca="1" si="33"/>
        <v>17980881.037554245</v>
      </c>
      <c r="Z53" s="342">
        <f t="shared" ca="1" si="17"/>
        <v>2268405.174955633</v>
      </c>
      <c r="AA53" s="1296">
        <v>0.75</v>
      </c>
      <c r="AB53" s="342">
        <f t="shared" si="18"/>
        <v>15447505.047282441</v>
      </c>
      <c r="AC53" s="347">
        <f t="shared" ca="1" si="19"/>
        <v>3551589.8902416732</v>
      </c>
      <c r="AD53" s="347">
        <f t="shared" ca="1" si="34"/>
        <v>10633750.056239873</v>
      </c>
      <c r="AE53" s="347">
        <f t="shared" ca="1" si="20"/>
        <v>4948038.9297912903</v>
      </c>
      <c r="AF53" s="347">
        <f t="shared" ca="1" si="21"/>
        <v>3693547.6944848555</v>
      </c>
      <c r="AG53" s="1333"/>
      <c r="AH53" s="335"/>
      <c r="AI53" s="347">
        <f t="shared" ca="1" si="22"/>
        <v>2776334.1496948223</v>
      </c>
      <c r="AJ53" s="347">
        <f t="shared" ca="1" si="23"/>
        <v>888910.82317219255</v>
      </c>
      <c r="AK53" s="342">
        <f t="shared" si="24"/>
        <v>2835629.6377086826</v>
      </c>
      <c r="AL53" s="342">
        <f t="shared" ca="1" si="35"/>
        <v>3724540.4608808751</v>
      </c>
      <c r="AM53" s="342">
        <f t="shared" ca="1" si="25"/>
        <v>1343500.6112882465</v>
      </c>
      <c r="AN53" s="1296">
        <v>0.75</v>
      </c>
      <c r="AO53" s="342">
        <f t="shared" si="26"/>
        <v>2671025.3903438225</v>
      </c>
      <c r="AP53" s="347">
        <f t="shared" ca="1" si="27"/>
        <v>2103488.0546321138</v>
      </c>
      <c r="AQ53" s="347">
        <f t="shared" ca="1" si="36"/>
        <v>3059007.0281320913</v>
      </c>
      <c r="AR53" s="347">
        <f t="shared" ca="1" si="28"/>
        <v>3132797.08897522</v>
      </c>
      <c r="AS53" s="347">
        <f t="shared" ca="1" si="29"/>
        <v>3026865.8919594483</v>
      </c>
      <c r="AT53" s="347"/>
      <c r="AU53" s="347"/>
      <c r="AV53" s="335"/>
      <c r="AW53" s="214"/>
      <c r="AX53" s="214"/>
      <c r="AY53" s="335"/>
      <c r="AZ53" s="335"/>
      <c r="BA53" s="335"/>
      <c r="BB53" s="335"/>
    </row>
    <row r="54" spans="1:54" s="313" customFormat="1" ht="15" customHeight="1" x14ac:dyDescent="0.35">
      <c r="A54" s="345"/>
      <c r="D54" s="230">
        <f t="shared" si="30"/>
        <v>2036</v>
      </c>
      <c r="E54" s="313">
        <f>D54-YEAR(Control!$H$19)+1</f>
        <v>9</v>
      </c>
      <c r="F54" s="312"/>
      <c r="G54" s="1150">
        <f ca="1">OFFSET('Annual FOM Costs'!$H$34,,($E54-1))</f>
        <v>1.2274024761441726</v>
      </c>
      <c r="H54" s="1150"/>
      <c r="I54" s="347">
        <f t="shared" ca="1" si="6"/>
        <v>586635.64347966085</v>
      </c>
      <c r="J54" s="347">
        <f t="shared" ca="1" si="7"/>
        <v>229709.72807560951</v>
      </c>
      <c r="K54" s="342">
        <f t="shared" si="8"/>
        <v>4714929.6208636044</v>
      </c>
      <c r="L54" s="342">
        <f t="shared" ca="1" si="31"/>
        <v>4944639.3489392139</v>
      </c>
      <c r="M54" s="342">
        <f t="shared" ca="1" si="9"/>
        <v>337442.36353114282</v>
      </c>
      <c r="N54" s="1296">
        <v>0.71699999999999997</v>
      </c>
      <c r="O54" s="342">
        <f t="shared" si="10"/>
        <v>4431838.2732657148</v>
      </c>
      <c r="P54" s="347">
        <f t="shared" ca="1" si="11"/>
        <v>528325.75947544409</v>
      </c>
      <c r="Q54" s="347">
        <f t="shared" ca="1" si="32"/>
        <v>2648803.1981361508</v>
      </c>
      <c r="R54" s="347">
        <f t="shared" ca="1" si="12"/>
        <v>739322.94188552455</v>
      </c>
      <c r="S54" s="347">
        <f t="shared" ca="1" si="13"/>
        <v>553131.10088960268</v>
      </c>
      <c r="T54" s="347"/>
      <c r="V54" s="347">
        <f t="shared" ca="1" si="14"/>
        <v>4018765.7360867066</v>
      </c>
      <c r="W54" s="347">
        <f t="shared" ca="1" si="15"/>
        <v>1574486.6849360035</v>
      </c>
      <c r="X54" s="342">
        <f t="shared" si="16"/>
        <v>15707309.782831252</v>
      </c>
      <c r="Y54" s="342">
        <f t="shared" ca="1" si="33"/>
        <v>17281796.467767254</v>
      </c>
      <c r="Z54" s="342">
        <f t="shared" ca="1" si="17"/>
        <v>2324874.3573792386</v>
      </c>
      <c r="AA54" s="1296">
        <v>0.71699999999999997</v>
      </c>
      <c r="AB54" s="342">
        <f t="shared" si="18"/>
        <v>14767814.825202012</v>
      </c>
      <c r="AC54" s="347">
        <f t="shared" ca="1" si="19"/>
        <v>3640002.392390816</v>
      </c>
      <c r="AD54" s="347">
        <f t="shared" ca="1" si="34"/>
        <v>10366345.787486034</v>
      </c>
      <c r="AE54" s="347">
        <f t="shared" ca="1" si="20"/>
        <v>5071214.3289881963</v>
      </c>
      <c r="AF54" s="347">
        <f t="shared" ca="1" si="21"/>
        <v>3785494.0631728186</v>
      </c>
      <c r="AG54" s="1333"/>
      <c r="AH54" s="335"/>
      <c r="AI54" s="347">
        <f t="shared" ca="1" si="22"/>
        <v>2845447.604953568</v>
      </c>
      <c r="AJ54" s="347">
        <f t="shared" ca="1" si="23"/>
        <v>911039.17483803199</v>
      </c>
      <c r="AK54" s="342">
        <f t="shared" si="24"/>
        <v>2708488.6349309832</v>
      </c>
      <c r="AL54" s="342">
        <f t="shared" ca="1" si="35"/>
        <v>3619527.8097690153</v>
      </c>
      <c r="AM54" s="342">
        <f t="shared" ca="1" si="25"/>
        <v>1376945.4217403939</v>
      </c>
      <c r="AN54" s="1296">
        <v>0.71699999999999997</v>
      </c>
      <c r="AO54" s="342">
        <f t="shared" si="26"/>
        <v>2553500.2731686947</v>
      </c>
      <c r="AP54" s="347">
        <f t="shared" ca="1" si="27"/>
        <v>2155851.8263226007</v>
      </c>
      <c r="AQ54" s="347">
        <f t="shared" ca="1" si="36"/>
        <v>3043148.7606158443</v>
      </c>
      <c r="AR54" s="347">
        <f t="shared" ca="1" si="28"/>
        <v>3210784.2547014412</v>
      </c>
      <c r="AS54" s="347">
        <f t="shared" ca="1" si="29"/>
        <v>3102216.0296297134</v>
      </c>
      <c r="AT54" s="347"/>
      <c r="AU54" s="347"/>
      <c r="AV54" s="335"/>
      <c r="AW54" s="214"/>
      <c r="AX54" s="214"/>
      <c r="AY54" s="335"/>
      <c r="AZ54" s="335"/>
      <c r="BA54" s="335"/>
      <c r="BB54" s="335"/>
    </row>
    <row r="55" spans="1:54" s="313" customFormat="1" ht="15" customHeight="1" x14ac:dyDescent="0.35">
      <c r="A55" s="345"/>
      <c r="D55" s="230">
        <f t="shared" si="30"/>
        <v>2037</v>
      </c>
      <c r="E55" s="313">
        <f>D55-YEAR(Control!$H$19)+1</f>
        <v>10</v>
      </c>
      <c r="F55" s="312"/>
      <c r="G55" s="1150">
        <f ca="1">OFFSET('Annual FOM Costs'!$H$34,,($E55-1))</f>
        <v>1.2581093051358816</v>
      </c>
      <c r="H55" s="1150"/>
      <c r="I55" s="347">
        <f t="shared" ca="1" si="6"/>
        <v>601311.93812211626</v>
      </c>
      <c r="J55" s="347">
        <f t="shared" ca="1" si="7"/>
        <v>235456.54501206253</v>
      </c>
      <c r="K55" s="342">
        <f t="shared" si="8"/>
        <v>4493602.9103536485</v>
      </c>
      <c r="L55" s="342">
        <f t="shared" ca="1" si="31"/>
        <v>4729059.4553657109</v>
      </c>
      <c r="M55" s="342">
        <f t="shared" ca="1" si="9"/>
        <v>345884.40691373392</v>
      </c>
      <c r="N55" s="1296">
        <v>0.68300000000000005</v>
      </c>
      <c r="O55" s="342">
        <f t="shared" si="10"/>
        <v>4221681.3676994191</v>
      </c>
      <c r="P55" s="347">
        <f t="shared" ca="1" si="11"/>
        <v>541543.27293451061</v>
      </c>
      <c r="Q55" s="347">
        <f t="shared" ca="1" si="32"/>
        <v>2554554.5237738318</v>
      </c>
      <c r="R55" s="347">
        <f t="shared" ca="1" si="12"/>
        <v>757819.1267860505</v>
      </c>
      <c r="S55" s="347">
        <f t="shared" ca="1" si="13"/>
        <v>566969.18778866949</v>
      </c>
      <c r="T55" s="347"/>
      <c r="V55" s="347">
        <f t="shared" ca="1" si="14"/>
        <v>4119306.1493694144</v>
      </c>
      <c r="W55" s="347">
        <f t="shared" ca="1" si="15"/>
        <v>1613876.7744329174</v>
      </c>
      <c r="X55" s="342">
        <f t="shared" si="16"/>
        <v>14969982.296581704</v>
      </c>
      <c r="Y55" s="342">
        <f t="shared" ca="1" si="33"/>
        <v>16583859.071014622</v>
      </c>
      <c r="Z55" s="342">
        <f t="shared" ca="1" si="17"/>
        <v>2383037.4462655513</v>
      </c>
      <c r="AA55" s="1296">
        <v>0.68300000000000005</v>
      </c>
      <c r="AB55" s="342">
        <f t="shared" si="18"/>
        <v>14067527.929725209</v>
      </c>
      <c r="AC55" s="347">
        <f t="shared" ca="1" si="19"/>
        <v>3731067.0049893549</v>
      </c>
      <c r="AD55" s="347">
        <f t="shared" ca="1" si="34"/>
        <v>10090816.190490058</v>
      </c>
      <c r="AE55" s="347">
        <f t="shared" ca="1" si="20"/>
        <v>5198084.6215019729</v>
      </c>
      <c r="AF55" s="347">
        <f t="shared" ca="1" si="21"/>
        <v>3880198.5477296212</v>
      </c>
      <c r="AG55" s="1333"/>
      <c r="AH55" s="335"/>
      <c r="AI55" s="347">
        <f t="shared" ca="1" si="22"/>
        <v>2916634.2570162727</v>
      </c>
      <c r="AJ55" s="347">
        <f t="shared" ca="1" si="23"/>
        <v>933831.31082457618</v>
      </c>
      <c r="AK55" s="342">
        <f t="shared" si="24"/>
        <v>2581347.6321532838</v>
      </c>
      <c r="AL55" s="342">
        <f t="shared" ca="1" si="35"/>
        <v>3515178.9429778601</v>
      </c>
      <c r="AM55" s="342">
        <f t="shared" ca="1" si="25"/>
        <v>1411393.4764071279</v>
      </c>
      <c r="AN55" s="1296">
        <v>0.68300000000000005</v>
      </c>
      <c r="AO55" s="342">
        <f t="shared" si="26"/>
        <v>2432413.7888064412</v>
      </c>
      <c r="AP55" s="347">
        <f t="shared" ca="1" si="27"/>
        <v>2209786.3544411315</v>
      </c>
      <c r="AQ55" s="347">
        <f t="shared" ca="1" si="36"/>
        <v>3026796.8098273501</v>
      </c>
      <c r="AR55" s="347">
        <f t="shared" ca="1" si="28"/>
        <v>3291110.8019869854</v>
      </c>
      <c r="AS55" s="347">
        <f t="shared" ca="1" si="29"/>
        <v>3179826.4459101423</v>
      </c>
      <c r="AT55" s="347"/>
      <c r="AU55" s="347"/>
      <c r="AV55" s="335"/>
      <c r="AW55" s="214"/>
      <c r="AX55" s="214"/>
      <c r="AY55" s="335"/>
      <c r="AZ55" s="335"/>
      <c r="BA55" s="335"/>
      <c r="BB55" s="335"/>
    </row>
    <row r="56" spans="1:54" s="313" customFormat="1" ht="15" customHeight="1" x14ac:dyDescent="0.35">
      <c r="A56" s="345"/>
      <c r="D56" s="230">
        <f t="shared" si="30"/>
        <v>2038</v>
      </c>
      <c r="E56" s="313">
        <f>D56-YEAR(Control!$H$19)+1</f>
        <v>11</v>
      </c>
      <c r="F56" s="312"/>
      <c r="G56" s="1150">
        <f ca="1">OFFSET('Annual FOM Costs'!$H$34,,($E56-1))</f>
        <v>1.2897310087665546</v>
      </c>
      <c r="H56" s="1150"/>
      <c r="I56" s="347">
        <f t="shared" ca="1" si="6"/>
        <v>616425.4960771061</v>
      </c>
      <c r="J56" s="347">
        <f t="shared" ca="1" si="7"/>
        <v>241374.58174693075</v>
      </c>
      <c r="K56" s="342">
        <f t="shared" si="8"/>
        <v>4272276.1998436926</v>
      </c>
      <c r="L56" s="342">
        <f t="shared" ca="1" si="31"/>
        <v>4513650.7815906238</v>
      </c>
      <c r="M56" s="342">
        <f t="shared" ca="1" si="9"/>
        <v>354577.97126561339</v>
      </c>
      <c r="N56" s="1296">
        <v>0.65</v>
      </c>
      <c r="O56" s="342">
        <f t="shared" si="10"/>
        <v>4017705.5475909552</v>
      </c>
      <c r="P56" s="347">
        <f t="shared" ca="1" si="11"/>
        <v>555154.58699920564</v>
      </c>
      <c r="Q56" s="347">
        <f t="shared" ca="1" si="32"/>
        <v>2463719.0529278871</v>
      </c>
      <c r="R56" s="347">
        <f t="shared" ca="1" si="12"/>
        <v>776866.38423423842</v>
      </c>
      <c r="S56" s="347">
        <f t="shared" ca="1" si="13"/>
        <v>581219.5645649865</v>
      </c>
      <c r="T56" s="347"/>
      <c r="U56" s="335"/>
      <c r="V56" s="347">
        <f t="shared" ca="1" si="14"/>
        <v>4222842.0485854996</v>
      </c>
      <c r="W56" s="347">
        <f t="shared" ca="1" si="15"/>
        <v>1654440.4463247107</v>
      </c>
      <c r="X56" s="342">
        <f t="shared" si="16"/>
        <v>14232654.810332159</v>
      </c>
      <c r="Y56" s="342">
        <f t="shared" ca="1" si="33"/>
        <v>15887095.25665687</v>
      </c>
      <c r="Z56" s="342">
        <f t="shared" ca="1" si="17"/>
        <v>2442933.4374636021</v>
      </c>
      <c r="AA56" s="1296">
        <v>0.65</v>
      </c>
      <c r="AB56" s="342">
        <f t="shared" si="18"/>
        <v>13387837.707644781</v>
      </c>
      <c r="AC56" s="347">
        <f t="shared" ca="1" si="19"/>
        <v>3824844.7829426089</v>
      </c>
      <c r="AD56" s="347">
        <f t="shared" ca="1" si="34"/>
        <v>9827807.9640254956</v>
      </c>
      <c r="AE56" s="347">
        <f t="shared" ca="1" si="20"/>
        <v>5328734.8684060294</v>
      </c>
      <c r="AF56" s="347">
        <f t="shared" ca="1" si="21"/>
        <v>3977724.6434381506</v>
      </c>
      <c r="AG56" s="1333"/>
      <c r="AH56" s="335"/>
      <c r="AI56" s="347">
        <f t="shared" ca="1" si="22"/>
        <v>2989941.8334708284</v>
      </c>
      <c r="AJ56" s="347">
        <f t="shared" ca="1" si="23"/>
        <v>957302.51227852958</v>
      </c>
      <c r="AK56" s="342">
        <f t="shared" si="24"/>
        <v>2454206.6293755854</v>
      </c>
      <c r="AL56" s="342">
        <f t="shared" ca="1" si="35"/>
        <v>3411509.1416541152</v>
      </c>
      <c r="AM56" s="342">
        <f t="shared" ca="1" si="25"/>
        <v>1446867.8712272116</v>
      </c>
      <c r="AN56" s="1296">
        <v>0.65</v>
      </c>
      <c r="AO56" s="342">
        <f t="shared" si="26"/>
        <v>2314888.6716313129</v>
      </c>
      <c r="AP56" s="347">
        <f t="shared" ca="1" si="27"/>
        <v>2265327.7997686462</v>
      </c>
      <c r="AQ56" s="347">
        <f t="shared" ca="1" si="36"/>
        <v>3013542.1713135852</v>
      </c>
      <c r="AR56" s="347">
        <f t="shared" ca="1" si="28"/>
        <v>3373830.5863263109</v>
      </c>
      <c r="AS56" s="347">
        <f t="shared" ca="1" si="29"/>
        <v>3259749.1752461968</v>
      </c>
      <c r="AT56" s="347"/>
      <c r="AU56" s="347"/>
      <c r="AV56" s="335"/>
      <c r="AW56" s="214"/>
      <c r="AX56" s="214"/>
      <c r="AY56" s="335"/>
      <c r="AZ56" s="335"/>
      <c r="BA56" s="335"/>
      <c r="BB56" s="335"/>
    </row>
    <row r="57" spans="1:54" s="313" customFormat="1" ht="15" customHeight="1" x14ac:dyDescent="0.35">
      <c r="A57" s="345"/>
      <c r="D57" s="230">
        <f t="shared" si="30"/>
        <v>2039</v>
      </c>
      <c r="E57" s="313">
        <f>D57-YEAR(Control!$H$19)+1</f>
        <v>12</v>
      </c>
      <c r="F57" s="312"/>
      <c r="G57" s="1150">
        <f ca="1">OFFSET('Annual FOM Costs'!$H$34,,($E57-1))</f>
        <v>1.3222885834988767</v>
      </c>
      <c r="H57" s="1150"/>
      <c r="I57" s="347">
        <f t="shared" ca="1" si="6"/>
        <v>631986.35258053499</v>
      </c>
      <c r="J57" s="347">
        <f t="shared" ca="1" si="7"/>
        <v>247467.76779137913</v>
      </c>
      <c r="K57" s="342">
        <f t="shared" si="8"/>
        <v>4050949.4893337372</v>
      </c>
      <c r="L57" s="342">
        <f t="shared" ca="1" si="31"/>
        <v>4298417.257125116</v>
      </c>
      <c r="M57" s="342">
        <f t="shared" ca="1" si="9"/>
        <v>363528.82901769283</v>
      </c>
      <c r="N57" s="1296">
        <v>0.61699999999999999</v>
      </c>
      <c r="O57" s="342">
        <f t="shared" si="10"/>
        <v>3813729.7274824907</v>
      </c>
      <c r="P57" s="347">
        <f t="shared" ca="1" si="11"/>
        <v>569168.73943204794</v>
      </c>
      <c r="Q57" s="347">
        <f t="shared" ca="1" si="32"/>
        <v>2373213.6479661157</v>
      </c>
      <c r="R57" s="347">
        <f t="shared" ca="1" si="12"/>
        <v>796477.36139910016</v>
      </c>
      <c r="S57" s="347">
        <f t="shared" ca="1" si="13"/>
        <v>595891.6933116694</v>
      </c>
      <c r="T57" s="347"/>
      <c r="U57" s="335"/>
      <c r="V57" s="347">
        <f t="shared" ca="1" si="14"/>
        <v>4329442.1804308994</v>
      </c>
      <c r="W57" s="347">
        <f t="shared" ca="1" si="15"/>
        <v>1696204.6344424384</v>
      </c>
      <c r="X57" s="342">
        <f t="shared" si="16"/>
        <v>13495327.324082611</v>
      </c>
      <c r="Y57" s="342">
        <f t="shared" ca="1" si="33"/>
        <v>15191531.95852505</v>
      </c>
      <c r="Z57" s="342">
        <f t="shared" ca="1" si="17"/>
        <v>2504602.1012513908</v>
      </c>
      <c r="AA57" s="1296">
        <v>0.61699999999999999</v>
      </c>
      <c r="AB57" s="342">
        <f t="shared" si="18"/>
        <v>12708147.485564353</v>
      </c>
      <c r="AC57" s="347">
        <f t="shared" ca="1" si="19"/>
        <v>3921397.9936615475</v>
      </c>
      <c r="AD57" s="347">
        <f t="shared" ca="1" si="34"/>
        <v>9567073.7902386468</v>
      </c>
      <c r="AE57" s="347">
        <f t="shared" ca="1" si="20"/>
        <v>5463251.8200243209</v>
      </c>
      <c r="AF57" s="347">
        <f t="shared" ca="1" si="21"/>
        <v>4078137.1065510521</v>
      </c>
      <c r="AG57" s="1333"/>
      <c r="AH57" s="335"/>
      <c r="AI57" s="347">
        <f t="shared" ca="1" si="22"/>
        <v>3065419.0097400253</v>
      </c>
      <c r="AJ57" s="347">
        <f t="shared" ca="1" si="23"/>
        <v>981468.36381896446</v>
      </c>
      <c r="AK57" s="342">
        <f t="shared" si="24"/>
        <v>2327065.626597886</v>
      </c>
      <c r="AL57" s="342">
        <f t="shared" ca="1" si="35"/>
        <v>3308533.9904168504</v>
      </c>
      <c r="AM57" s="342">
        <f t="shared" ca="1" si="25"/>
        <v>1483392.1608078165</v>
      </c>
      <c r="AN57" s="1296">
        <v>0.61699999999999999</v>
      </c>
      <c r="AO57" s="342">
        <f t="shared" si="26"/>
        <v>2197363.5544561851</v>
      </c>
      <c r="AP57" s="347">
        <f t="shared" ca="1" si="27"/>
        <v>2322513.0412126817</v>
      </c>
      <c r="AQ57" s="347">
        <f t="shared" ca="1" si="36"/>
        <v>3001634.3782383418</v>
      </c>
      <c r="AR57" s="347">
        <f t="shared" ca="1" si="28"/>
        <v>3458998.5327445045</v>
      </c>
      <c r="AS57" s="347">
        <f t="shared" ca="1" si="29"/>
        <v>3342037.2854492702</v>
      </c>
      <c r="AT57" s="347"/>
      <c r="AU57" s="347"/>
      <c r="AV57" s="335"/>
      <c r="AW57" s="214"/>
      <c r="AX57" s="214"/>
      <c r="AY57" s="335"/>
      <c r="AZ57" s="335"/>
      <c r="BA57" s="335"/>
      <c r="BB57" s="335"/>
    </row>
    <row r="58" spans="1:54" s="313" customFormat="1" ht="15" customHeight="1" x14ac:dyDescent="0.35">
      <c r="A58" s="345"/>
      <c r="D58" s="230">
        <f t="shared" si="30"/>
        <v>2040</v>
      </c>
      <c r="E58" s="313">
        <f>D58-YEAR(Control!$H$19)+1</f>
        <v>13</v>
      </c>
      <c r="F58" s="312"/>
      <c r="G58" s="1150">
        <f ca="1">OFFSET('Annual FOM Costs'!$H$34,,($E58-1))</f>
        <v>1.3558036376656093</v>
      </c>
      <c r="H58" s="1150"/>
      <c r="I58" s="347">
        <f t="shared" ca="1" si="6"/>
        <v>648004.83531092783</v>
      </c>
      <c r="J58" s="347">
        <f t="shared" ca="1" si="7"/>
        <v>253740.14716873274</v>
      </c>
      <c r="K58" s="342">
        <f t="shared" si="8"/>
        <v>3829622.7788237808</v>
      </c>
      <c r="L58" s="342">
        <f t="shared" ca="1" si="31"/>
        <v>4083362.9259925135</v>
      </c>
      <c r="M58" s="342">
        <f t="shared" ca="1" si="9"/>
        <v>372742.92081863538</v>
      </c>
      <c r="N58" s="1296">
        <v>0.58299999999999996</v>
      </c>
      <c r="O58" s="342">
        <f t="shared" si="10"/>
        <v>3603572.8219161946</v>
      </c>
      <c r="P58" s="347">
        <f t="shared" ca="1" si="11"/>
        <v>583595.03137022699</v>
      </c>
      <c r="Q58" s="347">
        <f t="shared" ca="1" si="32"/>
        <v>2279955.3870525286</v>
      </c>
      <c r="R58" s="347">
        <f t="shared" ca="1" si="12"/>
        <v>816665.07400812302</v>
      </c>
      <c r="S58" s="347">
        <f t="shared" ca="1" si="13"/>
        <v>610995.31186216837</v>
      </c>
      <c r="T58" s="347"/>
      <c r="U58" s="335"/>
      <c r="V58" s="347">
        <f t="shared" ca="1" si="14"/>
        <v>4439177.2949888185</v>
      </c>
      <c r="W58" s="347">
        <f t="shared" ca="1" si="15"/>
        <v>1739197.0575115206</v>
      </c>
      <c r="X58" s="342">
        <f t="shared" si="16"/>
        <v>12757999.837833064</v>
      </c>
      <c r="Y58" s="342">
        <f t="shared" ca="1" si="33"/>
        <v>14497196.895344585</v>
      </c>
      <c r="Z58" s="342">
        <f t="shared" ca="1" si="17"/>
        <v>2568084.3668756131</v>
      </c>
      <c r="AA58" s="1296">
        <v>0.58299999999999996</v>
      </c>
      <c r="AB58" s="342">
        <f t="shared" si="18"/>
        <v>12007860.59008755</v>
      </c>
      <c r="AC58" s="347">
        <f t="shared" ca="1" si="19"/>
        <v>4020790.7191278152</v>
      </c>
      <c r="AD58" s="347">
        <f t="shared" ca="1" si="34"/>
        <v>9298367.838045489</v>
      </c>
      <c r="AE58" s="347">
        <f t="shared" ca="1" si="20"/>
        <v>5601724.754722218</v>
      </c>
      <c r="AF58" s="347">
        <f t="shared" ca="1" si="21"/>
        <v>4181502.5804204233</v>
      </c>
      <c r="AG58" s="1333"/>
      <c r="AH58" s="335"/>
      <c r="AI58" s="347">
        <f t="shared" ca="1" si="22"/>
        <v>3143115.8797253328</v>
      </c>
      <c r="AJ58" s="347">
        <f t="shared" ca="1" si="23"/>
        <v>1006344.9042253613</v>
      </c>
      <c r="AK58" s="342">
        <f t="shared" si="24"/>
        <v>2199924.6238201866</v>
      </c>
      <c r="AL58" s="342">
        <f t="shared" ca="1" si="35"/>
        <v>3206269.5280455481</v>
      </c>
      <c r="AM58" s="342">
        <f t="shared" ca="1" si="25"/>
        <v>1520990.5861745609</v>
      </c>
      <c r="AN58" s="1296">
        <v>0.58299999999999996</v>
      </c>
      <c r="AO58" s="342">
        <f t="shared" si="26"/>
        <v>2076277.0700939312</v>
      </c>
      <c r="AP58" s="347">
        <f t="shared" ca="1" si="27"/>
        <v>2381380.0323903696</v>
      </c>
      <c r="AQ58" s="347">
        <f t="shared" ca="1" si="36"/>
        <v>2989323.8443294307</v>
      </c>
      <c r="AR58" s="347">
        <f t="shared" ca="1" si="28"/>
        <v>3546671.1668686117</v>
      </c>
      <c r="AS58" s="347">
        <f t="shared" ca="1" si="29"/>
        <v>3426745.3908105739</v>
      </c>
      <c r="AT58" s="347"/>
      <c r="AU58" s="347"/>
      <c r="AV58" s="335"/>
      <c r="AW58" s="214"/>
      <c r="AX58" s="214"/>
      <c r="AY58" s="335"/>
      <c r="AZ58" s="335"/>
      <c r="BA58" s="335"/>
      <c r="BB58" s="335"/>
    </row>
    <row r="59" spans="1:54" s="313" customFormat="1" ht="15" customHeight="1" x14ac:dyDescent="0.35">
      <c r="A59" s="345"/>
      <c r="D59" s="230">
        <f t="shared" si="30"/>
        <v>2041</v>
      </c>
      <c r="E59" s="313">
        <f>D59-YEAR(Control!$H$19)+1</f>
        <v>14</v>
      </c>
      <c r="F59" s="312"/>
      <c r="G59" s="1150">
        <f ca="1">OFFSET('Annual FOM Costs'!$H$34,,($E59-1))</f>
        <v>1.390298365357127</v>
      </c>
      <c r="H59" s="1150"/>
      <c r="I59" s="347">
        <f t="shared" ca="1" si="6"/>
        <v>664491.55190900678</v>
      </c>
      <c r="J59" s="347">
        <f t="shared" ca="1" si="7"/>
        <v>260195.87352750046</v>
      </c>
      <c r="K59" s="342">
        <f t="shared" si="8"/>
        <v>3608296.0683138254</v>
      </c>
      <c r="L59" s="342">
        <f t="shared" ca="1" si="31"/>
        <v>3868491.9418413257</v>
      </c>
      <c r="M59" s="342">
        <f t="shared" ca="1" si="9"/>
        <v>382226.34835591342</v>
      </c>
      <c r="N59" s="1296">
        <v>0.55000000000000004</v>
      </c>
      <c r="O59" s="342">
        <f t="shared" si="10"/>
        <v>3399597.0018077311</v>
      </c>
      <c r="P59" s="347">
        <f t="shared" ca="1" si="11"/>
        <v>598443.0160856978</v>
      </c>
      <c r="Q59" s="347">
        <f t="shared" ca="1" si="32"/>
        <v>2190133.1831246712</v>
      </c>
      <c r="R59" s="347">
        <f t="shared" ca="1" si="12"/>
        <v>837442.89061848912</v>
      </c>
      <c r="S59" s="347">
        <f t="shared" ca="1" si="13"/>
        <v>626540.42202263966</v>
      </c>
      <c r="T59" s="347"/>
      <c r="U59" s="335"/>
      <c r="V59" s="347">
        <f t="shared" ca="1" si="14"/>
        <v>4552120.0602322137</v>
      </c>
      <c r="W59" s="347">
        <f t="shared" ca="1" si="15"/>
        <v>1783446.1856552123</v>
      </c>
      <c r="X59" s="342">
        <f t="shared" si="16"/>
        <v>12020672.351583518</v>
      </c>
      <c r="Y59" s="342">
        <f t="shared" ca="1" si="33"/>
        <v>13804118.53723873</v>
      </c>
      <c r="Z59" s="342">
        <f t="shared" ca="1" si="17"/>
        <v>2633422.2730909572</v>
      </c>
      <c r="AA59" s="1296">
        <v>0.55000000000000004</v>
      </c>
      <c r="AB59" s="342">
        <f t="shared" si="18"/>
        <v>11328170.368007125</v>
      </c>
      <c r="AC59" s="347">
        <f t="shared" ca="1" si="19"/>
        <v>4123088.7784542372</v>
      </c>
      <c r="AD59" s="347">
        <f t="shared" ca="1" si="34"/>
        <v>9042340.7097761594</v>
      </c>
      <c r="AE59" s="347">
        <f t="shared" ca="1" si="20"/>
        <v>5744245.3710185988</v>
      </c>
      <c r="AF59" s="347">
        <f t="shared" ca="1" si="21"/>
        <v>4287889.5149630466</v>
      </c>
      <c r="AG59" s="1333"/>
      <c r="AH59" s="335"/>
      <c r="AI59" s="347">
        <f t="shared" ca="1" si="22"/>
        <v>3223083.8952712179</v>
      </c>
      <c r="AJ59" s="347">
        <f t="shared" ca="1" si="23"/>
        <v>1031948.6070556395</v>
      </c>
      <c r="AK59" s="342">
        <f t="shared" si="24"/>
        <v>2072783.6210424881</v>
      </c>
      <c r="AL59" s="342">
        <f t="shared" ca="1" si="35"/>
        <v>3104732.2280981275</v>
      </c>
      <c r="AM59" s="342">
        <f t="shared" ca="1" si="25"/>
        <v>1559688.0454775824</v>
      </c>
      <c r="AN59" s="1296">
        <v>0.55000000000000004</v>
      </c>
      <c r="AO59" s="342">
        <f t="shared" si="26"/>
        <v>1958751.9529188036</v>
      </c>
      <c r="AP59" s="347">
        <f t="shared" ca="1" si="27"/>
        <v>2441967.7557636146</v>
      </c>
      <c r="AQ59" s="347">
        <f t="shared" ca="1" si="36"/>
        <v>2980203.87708</v>
      </c>
      <c r="AR59" s="347">
        <f t="shared" ca="1" si="28"/>
        <v>3636906.5466195727</v>
      </c>
      <c r="AS59" s="347">
        <f t="shared" ca="1" si="29"/>
        <v>3513929.5861028191</v>
      </c>
      <c r="AT59" s="347"/>
      <c r="AU59" s="347"/>
      <c r="AV59" s="335"/>
      <c r="AW59" s="214"/>
      <c r="AX59" s="214"/>
      <c r="AY59" s="335"/>
      <c r="AZ59" s="335"/>
      <c r="BA59" s="335"/>
      <c r="BB59" s="335"/>
    </row>
    <row r="60" spans="1:54" s="313" customFormat="1" ht="15" customHeight="1" x14ac:dyDescent="0.35">
      <c r="A60" s="345"/>
      <c r="D60" s="230">
        <f t="shared" si="30"/>
        <v>2042</v>
      </c>
      <c r="E60" s="313">
        <f>D60-YEAR(Control!$H$19)+1</f>
        <v>15</v>
      </c>
      <c r="F60" s="312"/>
      <c r="G60" s="1150">
        <f ca="1">OFFSET('Annual FOM Costs'!$H$34,,($E60-1))</f>
        <v>1.4257957597396258</v>
      </c>
      <c r="H60" s="1150"/>
      <c r="I60" s="347">
        <f t="shared" ca="1" si="6"/>
        <v>681457.49193289049</v>
      </c>
      <c r="J60" s="347">
        <f t="shared" ca="1" si="7"/>
        <v>266839.25006411312</v>
      </c>
      <c r="K60" s="342">
        <f t="shared" si="8"/>
        <v>3386969.3578038695</v>
      </c>
      <c r="L60" s="342">
        <f t="shared" ca="1" si="31"/>
        <v>3653808.6078679827</v>
      </c>
      <c r="M60" s="342">
        <f t="shared" ca="1" si="9"/>
        <v>391985.43300209794</v>
      </c>
      <c r="N60" s="1296">
        <v>0.51700000000000002</v>
      </c>
      <c r="O60" s="342">
        <f t="shared" si="10"/>
        <v>3195621.1816992671</v>
      </c>
      <c r="P60" s="347">
        <f t="shared" ca="1" si="11"/>
        <v>613722.59080632927</v>
      </c>
      <c r="Q60" s="347">
        <f t="shared" ca="1" si="32"/>
        <v>2100664.6027538474</v>
      </c>
      <c r="R60" s="347">
        <f t="shared" ca="1" si="12"/>
        <v>858824.66110878834</v>
      </c>
      <c r="S60" s="347">
        <f t="shared" ca="1" si="13"/>
        <v>642537.38570417417</v>
      </c>
      <c r="T60" s="347"/>
      <c r="U60" s="335"/>
      <c r="V60" s="347">
        <f t="shared" ca="1" si="14"/>
        <v>4668345.7604710544</v>
      </c>
      <c r="W60" s="347">
        <f t="shared" ca="1" si="15"/>
        <v>1828981.5140348182</v>
      </c>
      <c r="X60" s="342">
        <f t="shared" si="16"/>
        <v>11283344.865333971</v>
      </c>
      <c r="Y60" s="342">
        <f t="shared" ca="1" si="33"/>
        <v>13112326.379368789</v>
      </c>
      <c r="Z60" s="342">
        <f t="shared" ca="1" si="17"/>
        <v>2700659.3722150396</v>
      </c>
      <c r="AA60" s="1296">
        <v>0.51700000000000002</v>
      </c>
      <c r="AB60" s="342">
        <f t="shared" si="18"/>
        <v>10648480.145926697</v>
      </c>
      <c r="AC60" s="347">
        <f t="shared" ca="1" si="19"/>
        <v>4228360.3605043609</v>
      </c>
      <c r="AD60" s="347">
        <f t="shared" ca="1" si="34"/>
        <v>8788749.939323049</v>
      </c>
      <c r="AE60" s="347">
        <f t="shared" ca="1" si="20"/>
        <v>5890908.6689449484</v>
      </c>
      <c r="AF60" s="347">
        <f t="shared" ca="1" si="21"/>
        <v>4397368.8245658642</v>
      </c>
      <c r="AG60" s="1333"/>
      <c r="AH60" s="335"/>
      <c r="AI60" s="347">
        <f t="shared" ca="1" si="22"/>
        <v>3305376.360693871</v>
      </c>
      <c r="AJ60" s="347">
        <f t="shared" ca="1" si="23"/>
        <v>1058296.5389815429</v>
      </c>
      <c r="AK60" s="342">
        <f t="shared" si="24"/>
        <v>1945642.6182647888</v>
      </c>
      <c r="AL60" s="342">
        <f t="shared" ca="1" si="35"/>
        <v>3003939.1572463317</v>
      </c>
      <c r="AM60" s="342">
        <f t="shared" ca="1" si="25"/>
        <v>1599510.3332997831</v>
      </c>
      <c r="AN60" s="1296">
        <v>0.51700000000000002</v>
      </c>
      <c r="AO60" s="342">
        <f t="shared" si="26"/>
        <v>1841226.8357436752</v>
      </c>
      <c r="AP60" s="347">
        <f t="shared" ca="1" si="27"/>
        <v>2504316.5973185138</v>
      </c>
      <c r="AQ60" s="347">
        <f t="shared" ca="1" si="36"/>
        <v>2972526.8831809862</v>
      </c>
      <c r="AR60" s="347">
        <f t="shared" ca="1" si="28"/>
        <v>3729764.8202351672</v>
      </c>
      <c r="AS60" s="347">
        <f t="shared" ca="1" si="29"/>
        <v>3603647.985734384</v>
      </c>
      <c r="AT60" s="347"/>
      <c r="AU60" s="347"/>
      <c r="AV60" s="335"/>
      <c r="AW60" s="214"/>
      <c r="AX60" s="214"/>
      <c r="AY60" s="335"/>
      <c r="AZ60" s="335"/>
      <c r="BA60" s="335"/>
      <c r="BB60" s="335"/>
    </row>
    <row r="61" spans="1:54" s="313" customFormat="1" ht="15" customHeight="1" x14ac:dyDescent="0.35">
      <c r="A61" s="345"/>
      <c r="D61" s="230">
        <f t="shared" si="30"/>
        <v>2043</v>
      </c>
      <c r="E61" s="313">
        <f>D61-YEAR(Control!$H$19)+1</f>
        <v>16</v>
      </c>
      <c r="F61" s="312"/>
      <c r="G61" s="1150">
        <f ca="1">OFFSET('Annual FOM Costs'!$H$34,,($E61-1))</f>
        <v>1.4623195456198828</v>
      </c>
      <c r="H61" s="1150"/>
      <c r="I61" s="347">
        <f t="shared" ca="1" si="6"/>
        <v>698913.99462749739</v>
      </c>
      <c r="J61" s="347">
        <f t="shared" ca="1" si="7"/>
        <v>273674.71690234373</v>
      </c>
      <c r="K61" s="342">
        <f t="shared" si="8"/>
        <v>3165642.6472939136</v>
      </c>
      <c r="L61" s="342">
        <f t="shared" ca="1" si="31"/>
        <v>3439317.3641962572</v>
      </c>
      <c r="M61" s="342">
        <f t="shared" ca="1" si="9"/>
        <v>402026.6972752944</v>
      </c>
      <c r="N61" s="1296">
        <v>0.48342857142857198</v>
      </c>
      <c r="O61" s="342">
        <f t="shared" si="10"/>
        <v>2988113.3127577598</v>
      </c>
      <c r="P61" s="347">
        <f t="shared" ca="1" si="11"/>
        <v>629443.96768893453</v>
      </c>
      <c r="Q61" s="347">
        <f t="shared" ca="1" si="32"/>
        <v>2009791.9888609943</v>
      </c>
      <c r="R61" s="347">
        <f t="shared" ca="1" si="12"/>
        <v>880824.67605956213</v>
      </c>
      <c r="S61" s="347">
        <f t="shared" ca="1" si="13"/>
        <v>658996.89453298773</v>
      </c>
      <c r="T61" s="347"/>
      <c r="U61" s="335"/>
      <c r="V61" s="347">
        <f t="shared" ca="1" si="14"/>
        <v>4787932.0755556123</v>
      </c>
      <c r="W61" s="347">
        <f t="shared" ca="1" si="15"/>
        <v>1875833.4763451528</v>
      </c>
      <c r="X61" s="342">
        <f t="shared" si="16"/>
        <v>10546017.379084425</v>
      </c>
      <c r="Y61" s="342">
        <f t="shared" ca="1" si="33"/>
        <v>12421850.855429579</v>
      </c>
      <c r="Z61" s="342">
        <f t="shared" ca="1" si="17"/>
        <v>2769840.6023964956</v>
      </c>
      <c r="AA61" s="1296">
        <v>0.48342857142857198</v>
      </c>
      <c r="AB61" s="342">
        <f t="shared" si="18"/>
        <v>9957020.3961912077</v>
      </c>
      <c r="AC61" s="347">
        <f t="shared" ca="1" si="19"/>
        <v>4336675.823905536</v>
      </c>
      <c r="AD61" s="347">
        <f t="shared" ca="1" si="34"/>
        <v>8531768.4112466201</v>
      </c>
      <c r="AE61" s="347">
        <f t="shared" ca="1" si="20"/>
        <v>6041812.6714256313</v>
      </c>
      <c r="AF61" s="347">
        <f t="shared" ca="1" si="21"/>
        <v>4510013.6801055456</v>
      </c>
      <c r="AG61" s="1333"/>
      <c r="AH61" s="335"/>
      <c r="AI61" s="347">
        <f t="shared" ca="1" si="22"/>
        <v>3390048.2764482652</v>
      </c>
      <c r="AJ61" s="347">
        <f t="shared" ca="1" si="23"/>
        <v>1085406.3097348502</v>
      </c>
      <c r="AK61" s="342">
        <f t="shared" si="24"/>
        <v>1818501.6154870896</v>
      </c>
      <c r="AL61" s="342">
        <f t="shared" ca="1" si="35"/>
        <v>2903907.9252219396</v>
      </c>
      <c r="AM61" s="342">
        <f t="shared" ca="1" si="25"/>
        <v>1640484.0650054857</v>
      </c>
      <c r="AN61" s="1296">
        <v>0.48342857142857198</v>
      </c>
      <c r="AO61" s="342">
        <f t="shared" si="26"/>
        <v>1721666.6516044773</v>
      </c>
      <c r="AP61" s="347">
        <f t="shared" ca="1" si="27"/>
        <v>2568468.2281197854</v>
      </c>
      <c r="AQ61" s="347">
        <f t="shared" ca="1" si="36"/>
        <v>2965309.4723648746</v>
      </c>
      <c r="AR61" s="347">
        <f t="shared" ca="1" si="28"/>
        <v>3825308.0498649576</v>
      </c>
      <c r="AS61" s="347">
        <f t="shared" ca="1" si="29"/>
        <v>3695960.5533091519</v>
      </c>
      <c r="AT61" s="347"/>
      <c r="AU61" s="347"/>
      <c r="AV61" s="335"/>
      <c r="AW61" s="214"/>
      <c r="AX61" s="214"/>
      <c r="AY61" s="335"/>
      <c r="AZ61" s="335"/>
      <c r="BA61" s="335"/>
      <c r="BB61" s="335"/>
    </row>
    <row r="62" spans="1:54" s="313" customFormat="1" ht="15" customHeight="1" x14ac:dyDescent="0.35">
      <c r="A62" s="345"/>
      <c r="D62" s="230">
        <f t="shared" si="30"/>
        <v>2044</v>
      </c>
      <c r="E62" s="313">
        <f>D62-YEAR(Control!$H$19)+1</f>
        <v>17</v>
      </c>
      <c r="F62" s="312"/>
      <c r="G62" s="1150">
        <f ca="1">OFFSET('Annual FOM Costs'!$H$34,,($E62-1))</f>
        <v>1.4998942451974229</v>
      </c>
      <c r="H62" s="1150"/>
      <c r="I62" s="347">
        <f t="shared" ca="1" si="6"/>
        <v>716872.78035071935</v>
      </c>
      <c r="J62" s="347">
        <f t="shared" ca="1" si="7"/>
        <v>280706.86339889816</v>
      </c>
      <c r="K62" s="342">
        <f t="shared" si="8"/>
        <v>2944315.9367839578</v>
      </c>
      <c r="L62" s="342">
        <f t="shared" ca="1" si="31"/>
        <v>3225022.8001828557</v>
      </c>
      <c r="M62" s="342">
        <f t="shared" ca="1" si="9"/>
        <v>412356.88291598915</v>
      </c>
      <c r="N62" s="1296">
        <v>0.45010714285714298</v>
      </c>
      <c r="O62" s="342">
        <f t="shared" si="10"/>
        <v>2782150.7151807044</v>
      </c>
      <c r="P62" s="347">
        <f t="shared" ca="1" si="11"/>
        <v>645617.70212177408</v>
      </c>
      <c r="Q62" s="347">
        <f t="shared" ca="1" si="32"/>
        <v>1920062.6501092338</v>
      </c>
      <c r="R62" s="347">
        <f t="shared" ca="1" si="12"/>
        <v>903457.70635896386</v>
      </c>
      <c r="S62" s="347">
        <f t="shared" ca="1" si="13"/>
        <v>675929.99948175077</v>
      </c>
      <c r="T62" s="347"/>
      <c r="U62" s="335"/>
      <c r="V62" s="347">
        <f t="shared" ca="1" si="14"/>
        <v>4910959.2961624516</v>
      </c>
      <c r="W62" s="347">
        <f t="shared" ca="1" si="15"/>
        <v>1924033.5291600686</v>
      </c>
      <c r="X62" s="342">
        <f t="shared" si="16"/>
        <v>9808689.8928348757</v>
      </c>
      <c r="Y62" s="342">
        <f t="shared" ca="1" si="33"/>
        <v>11732723.421994945</v>
      </c>
      <c r="Z62" s="342">
        <f t="shared" ca="1" si="17"/>
        <v>2841012.4121589116</v>
      </c>
      <c r="AA62" s="1296">
        <v>0.45010714285714298</v>
      </c>
      <c r="AB62" s="342">
        <f t="shared" si="18"/>
        <v>9270709.8148047924</v>
      </c>
      <c r="AC62" s="347">
        <f t="shared" ca="1" si="19"/>
        <v>4448107.8920444846</v>
      </c>
      <c r="AD62" s="347">
        <f t="shared" ca="1" si="34"/>
        <v>8279915.0595040945</v>
      </c>
      <c r="AE62" s="347">
        <f t="shared" ca="1" si="20"/>
        <v>6197058.6959437253</v>
      </c>
      <c r="AF62" s="347">
        <f t="shared" ca="1" si="21"/>
        <v>4625899.7117380686</v>
      </c>
      <c r="AG62" s="1333"/>
      <c r="AH62" s="335"/>
      <c r="AI62" s="347">
        <f t="shared" ca="1" si="22"/>
        <v>3477156.4915592819</v>
      </c>
      <c r="AJ62" s="347">
        <f t="shared" ca="1" si="23"/>
        <v>1113296.1209119039</v>
      </c>
      <c r="AK62" s="342">
        <f t="shared" si="24"/>
        <v>1691360.6127093905</v>
      </c>
      <c r="AL62" s="342">
        <f t="shared" ca="1" si="35"/>
        <v>2804656.7336212946</v>
      </c>
      <c r="AM62" s="342">
        <f t="shared" ca="1" si="25"/>
        <v>1682636.7505036427</v>
      </c>
      <c r="AN62" s="1296">
        <v>0.45010714285714298</v>
      </c>
      <c r="AO62" s="342">
        <f t="shared" si="26"/>
        <v>1602996.8092620573</v>
      </c>
      <c r="AP62" s="347">
        <f t="shared" ca="1" si="27"/>
        <v>2634465.7198001328</v>
      </c>
      <c r="AQ62" s="347">
        <f t="shared" ca="1" si="36"/>
        <v>2960049.6397829168</v>
      </c>
      <c r="AR62" s="347">
        <f t="shared" ca="1" si="28"/>
        <v>3923600.3835725617</v>
      </c>
      <c r="AS62" s="347">
        <f t="shared" ca="1" si="29"/>
        <v>3790929.2678127671</v>
      </c>
      <c r="AT62" s="347"/>
      <c r="AU62" s="347"/>
      <c r="AV62" s="335"/>
      <c r="AW62" s="214"/>
      <c r="AX62" s="214"/>
      <c r="AY62" s="335"/>
      <c r="AZ62" s="335"/>
      <c r="BA62" s="335"/>
      <c r="BB62" s="335"/>
    </row>
    <row r="63" spans="1:54" s="313" customFormat="1" ht="15" customHeight="1" x14ac:dyDescent="0.35">
      <c r="A63" s="345"/>
      <c r="D63" s="230">
        <f t="shared" si="30"/>
        <v>2045</v>
      </c>
      <c r="E63" s="313">
        <f>D63-YEAR(Control!$H$19)+1</f>
        <v>18</v>
      </c>
      <c r="F63" s="312"/>
      <c r="G63" s="1150">
        <f ca="1">OFFSET('Annual FOM Costs'!$H$34,,($E63-1))</f>
        <v>1.5385451021210048</v>
      </c>
      <c r="H63" s="1150"/>
      <c r="I63" s="347">
        <f t="shared" ca="1" si="6"/>
        <v>735345.91427630419</v>
      </c>
      <c r="J63" s="347">
        <f t="shared" ca="1" si="7"/>
        <v>287940.4139305026</v>
      </c>
      <c r="K63" s="342">
        <f t="shared" si="8"/>
        <v>2722989.2262740014</v>
      </c>
      <c r="L63" s="342">
        <f t="shared" ca="1" si="31"/>
        <v>3010929.6402045041</v>
      </c>
      <c r="M63" s="342">
        <f t="shared" ca="1" si="9"/>
        <v>422982.93000835751</v>
      </c>
      <c r="N63" s="1296">
        <v>0.41678571428571398</v>
      </c>
      <c r="O63" s="342">
        <f t="shared" si="10"/>
        <v>2576188.1176036489</v>
      </c>
      <c r="P63" s="347">
        <f t="shared" ca="1" si="11"/>
        <v>662254.66003526736</v>
      </c>
      <c r="Q63" s="347">
        <f t="shared" ca="1" si="32"/>
        <v>1830712.8538236369</v>
      </c>
      <c r="R63" s="347">
        <f t="shared" ca="1" si="12"/>
        <v>926738.95745836489</v>
      </c>
      <c r="S63" s="347">
        <f t="shared" ca="1" si="13"/>
        <v>693348.07664550922</v>
      </c>
      <c r="T63" s="347"/>
      <c r="U63" s="335"/>
      <c r="V63" s="347">
        <f t="shared" ca="1" si="14"/>
        <v>5037510.0751398886</v>
      </c>
      <c r="W63" s="347">
        <f t="shared" ca="1" si="15"/>
        <v>1973614.0545136759</v>
      </c>
      <c r="X63" s="342">
        <f t="shared" si="16"/>
        <v>9071362.4065853301</v>
      </c>
      <c r="Y63" s="342">
        <f t="shared" ca="1" si="33"/>
        <v>11044976.461099006</v>
      </c>
      <c r="Z63" s="342">
        <f t="shared" ca="1" si="17"/>
        <v>2914222.616553036</v>
      </c>
      <c r="AA63" s="1296">
        <v>0.41678571428571398</v>
      </c>
      <c r="AB63" s="342">
        <f t="shared" si="18"/>
        <v>8584399.233418379</v>
      </c>
      <c r="AC63" s="347">
        <f t="shared" ca="1" si="19"/>
        <v>4562731.4278481286</v>
      </c>
      <c r="AD63" s="347">
        <f t="shared" ca="1" si="34"/>
        <v>8030676.638909772</v>
      </c>
      <c r="AE63" s="347">
        <f t="shared" ca="1" si="20"/>
        <v>6356751.0407679658</v>
      </c>
      <c r="AF63" s="347">
        <f t="shared" ca="1" si="21"/>
        <v>4745104.7746774852</v>
      </c>
      <c r="AG63" s="1333"/>
      <c r="AH63" s="335"/>
      <c r="AI63" s="347">
        <f t="shared" ca="1" si="22"/>
        <v>3566759.5275643119</v>
      </c>
      <c r="AJ63" s="347">
        <f t="shared" ca="1" si="23"/>
        <v>1141984.709604556</v>
      </c>
      <c r="AK63" s="342">
        <f t="shared" si="24"/>
        <v>1564219.6099316913</v>
      </c>
      <c r="AL63" s="342">
        <f t="shared" ca="1" si="35"/>
        <v>2706204.3195362473</v>
      </c>
      <c r="AM63" s="342">
        <f t="shared" ca="1" si="25"/>
        <v>1725996.7090515981</v>
      </c>
      <c r="AN63" s="1296">
        <v>0.41678571428571398</v>
      </c>
      <c r="AO63" s="342">
        <f t="shared" si="26"/>
        <v>1484326.9669196375</v>
      </c>
      <c r="AP63" s="347">
        <f t="shared" ca="1" si="27"/>
        <v>2702353.4111704491</v>
      </c>
      <c r="AQ63" s="347">
        <f t="shared" ca="1" si="36"/>
        <v>2956338.5435708426</v>
      </c>
      <c r="AR63" s="347">
        <f t="shared" ca="1" si="28"/>
        <v>4024707.8566736495</v>
      </c>
      <c r="AS63" s="347">
        <f t="shared" ca="1" si="29"/>
        <v>3888617.9316681074</v>
      </c>
      <c r="AT63" s="347"/>
      <c r="AU63" s="347"/>
      <c r="AV63" s="335"/>
      <c r="AW63" s="214"/>
      <c r="AX63" s="214"/>
      <c r="AY63" s="335"/>
      <c r="AZ63" s="335"/>
      <c r="BA63" s="335"/>
      <c r="BB63" s="335"/>
    </row>
    <row r="64" spans="1:54" s="313" customFormat="1" ht="15" customHeight="1" x14ac:dyDescent="0.35">
      <c r="A64" s="345"/>
      <c r="D64" s="230">
        <f t="shared" si="30"/>
        <v>2046</v>
      </c>
      <c r="E64" s="313">
        <f>D64-YEAR(Control!$H$19)+1</f>
        <v>19</v>
      </c>
      <c r="F64" s="312"/>
      <c r="G64" s="1150">
        <f ca="1">OFFSET('Annual FOM Costs'!$H$34,,($E64-1))</f>
        <v>1.5782982370641883</v>
      </c>
      <c r="H64" s="1150"/>
      <c r="I64" s="347">
        <f t="shared" ca="1" si="6"/>
        <v>754345.8807510247</v>
      </c>
      <c r="J64" s="347">
        <f t="shared" ca="1" si="7"/>
        <v>295380.25701004273</v>
      </c>
      <c r="K64" s="342">
        <f t="shared" si="8"/>
        <v>2501662.5157640465</v>
      </c>
      <c r="L64" s="342">
        <f t="shared" ca="1" si="31"/>
        <v>2797042.7727740891</v>
      </c>
      <c r="M64" s="342">
        <f t="shared" ca="1" si="9"/>
        <v>433912.01975171617</v>
      </c>
      <c r="N64" s="1296">
        <v>0.38300000000000001</v>
      </c>
      <c r="O64" s="342">
        <f t="shared" si="10"/>
        <v>2367355.730349747</v>
      </c>
      <c r="P64" s="347">
        <f t="shared" ca="1" si="11"/>
        <v>679366.08486827393</v>
      </c>
      <c r="Q64" s="347">
        <f t="shared" ca="1" si="32"/>
        <v>1740316.9174848683</v>
      </c>
      <c r="R64" s="347">
        <f t="shared" ca="1" si="12"/>
        <v>950684.16308292514</v>
      </c>
      <c r="S64" s="347">
        <f t="shared" ca="1" si="13"/>
        <v>711262.89735208987</v>
      </c>
      <c r="T64" s="347"/>
      <c r="U64" s="335"/>
      <c r="V64" s="347">
        <f t="shared" ca="1" si="14"/>
        <v>5167669.9368940964</v>
      </c>
      <c r="W64" s="347">
        <f t="shared" ca="1" si="15"/>
        <v>2024608.5594694847</v>
      </c>
      <c r="X64" s="342">
        <f t="shared" si="16"/>
        <v>8334034.9203357855</v>
      </c>
      <c r="Y64" s="342">
        <f t="shared" ca="1" si="33"/>
        <v>10358643.47980527</v>
      </c>
      <c r="Z64" s="342">
        <f t="shared" ca="1" si="17"/>
        <v>2989520.6918389685</v>
      </c>
      <c r="AA64" s="1296">
        <v>0.38300000000000001</v>
      </c>
      <c r="AB64" s="342">
        <f t="shared" si="18"/>
        <v>7888525.9108122336</v>
      </c>
      <c r="AC64" s="347">
        <f t="shared" ca="1" si="19"/>
        <v>4680623.8951607225</v>
      </c>
      <c r="AD64" s="347">
        <f t="shared" ca="1" si="34"/>
        <v>7779335.2489059623</v>
      </c>
      <c r="AE64" s="347">
        <f t="shared" ca="1" si="20"/>
        <v>6520997.6277386714</v>
      </c>
      <c r="AF64" s="347">
        <f t="shared" ca="1" si="21"/>
        <v>4867709.4290143987</v>
      </c>
      <c r="AG64" s="1333"/>
      <c r="AH64" s="335"/>
      <c r="AI64" s="347">
        <f t="shared" ca="1" si="22"/>
        <v>3658917.9391790777</v>
      </c>
      <c r="AJ64" s="347">
        <f t="shared" ca="1" si="23"/>
        <v>1171491.4638760935</v>
      </c>
      <c r="AK64" s="342">
        <f t="shared" si="24"/>
        <v>1437078.6071539924</v>
      </c>
      <c r="AL64" s="342">
        <f t="shared" ca="1" si="35"/>
        <v>2608570.0710300859</v>
      </c>
      <c r="AM64" s="342">
        <f t="shared" ca="1" si="25"/>
        <v>1770593.2437855029</v>
      </c>
      <c r="AN64" s="1296">
        <v>0.38300000000000001</v>
      </c>
      <c r="AO64" s="342">
        <f t="shared" si="26"/>
        <v>1364003.6326689122</v>
      </c>
      <c r="AP64" s="347">
        <f t="shared" ca="1" si="27"/>
        <v>2772177.1814780822</v>
      </c>
      <c r="AQ64" s="347">
        <f t="shared" ca="1" si="36"/>
        <v>2953387.0289662485</v>
      </c>
      <c r="AR64" s="347">
        <f t="shared" ca="1" si="28"/>
        <v>4128698.7987088705</v>
      </c>
      <c r="AS64" s="347">
        <f t="shared" ca="1" si="29"/>
        <v>3989092.5639469908</v>
      </c>
      <c r="AT64" s="347"/>
      <c r="AU64" s="347"/>
      <c r="AV64" s="335"/>
      <c r="AW64" s="214"/>
      <c r="AX64" s="214"/>
      <c r="AY64" s="335"/>
      <c r="AZ64" s="335"/>
      <c r="BA64" s="335"/>
      <c r="BB64" s="335"/>
    </row>
    <row r="65" spans="1:54" s="313" customFormat="1" ht="15" customHeight="1" x14ac:dyDescent="0.35">
      <c r="A65" s="345"/>
      <c r="D65" s="230">
        <f t="shared" si="30"/>
        <v>2047</v>
      </c>
      <c r="E65" s="313">
        <f>D65-YEAR(Control!$H$19)+1</f>
        <v>20</v>
      </c>
      <c r="F65" s="312"/>
      <c r="G65" s="1150">
        <f ca="1">OFFSET('Annual FOM Costs'!$H$34,,($E65-1))</f>
        <v>1.6191805794587526</v>
      </c>
      <c r="H65" s="1150"/>
      <c r="I65" s="347">
        <f t="shared" ca="1" si="6"/>
        <v>773885.55066674191</v>
      </c>
      <c r="J65" s="347">
        <f t="shared" ca="1" si="7"/>
        <v>303031.43251039775</v>
      </c>
      <c r="K65" s="342">
        <f t="shared" si="8"/>
        <v>2280335.8052540906</v>
      </c>
      <c r="L65" s="342">
        <f t="shared" ca="1" si="31"/>
        <v>2583367.2377644884</v>
      </c>
      <c r="M65" s="342">
        <f t="shared" ca="1" si="9"/>
        <v>445151.55569240369</v>
      </c>
      <c r="N65" s="1296">
        <v>0.35</v>
      </c>
      <c r="O65" s="342">
        <f t="shared" si="10"/>
        <v>2163379.9102412835</v>
      </c>
      <c r="P65" s="347">
        <f t="shared" ca="1" si="11"/>
        <v>696963.56818327936</v>
      </c>
      <c r="Q65" s="347">
        <f t="shared" ca="1" si="32"/>
        <v>1652747.5170584833</v>
      </c>
      <c r="R65" s="347">
        <f t="shared" ca="1" si="12"/>
        <v>975309.54411138117</v>
      </c>
      <c r="S65" s="347">
        <f t="shared" ca="1" si="13"/>
        <v>729686.59739764442</v>
      </c>
      <c r="T65" s="347"/>
      <c r="U65" s="335"/>
      <c r="V65" s="347">
        <f t="shared" ca="1" si="14"/>
        <v>5301527.0538704041</v>
      </c>
      <c r="W65" s="347">
        <f t="shared" ca="1" si="15"/>
        <v>2077051.5885494386</v>
      </c>
      <c r="X65" s="342">
        <f t="shared" si="16"/>
        <v>7596707.4340862371</v>
      </c>
      <c r="Y65" s="342">
        <f t="shared" ca="1" si="33"/>
        <v>9673759.022635676</v>
      </c>
      <c r="Z65" s="342">
        <f t="shared" ca="1" si="17"/>
        <v>3066957.6461795727</v>
      </c>
      <c r="AA65" s="1296">
        <v>0.35</v>
      </c>
      <c r="AB65" s="342">
        <f t="shared" si="18"/>
        <v>7208835.6887318054</v>
      </c>
      <c r="AC65" s="347">
        <f t="shared" ca="1" si="19"/>
        <v>4801865.156291496</v>
      </c>
      <c r="AD65" s="347">
        <f t="shared" ca="1" si="34"/>
        <v>7538829.2456014371</v>
      </c>
      <c r="AE65" s="347">
        <f t="shared" ca="1" si="20"/>
        <v>6689909.7202131888</v>
      </c>
      <c r="AF65" s="347">
        <f t="shared" ca="1" si="21"/>
        <v>4993796.7291715508</v>
      </c>
      <c r="AG65" s="1333"/>
      <c r="AH65" s="335"/>
      <c r="AI65" s="347">
        <f t="shared" ca="1" si="22"/>
        <v>3753694.1560374186</v>
      </c>
      <c r="AJ65" s="347">
        <f t="shared" ca="1" si="23"/>
        <v>1201836.3720903855</v>
      </c>
      <c r="AK65" s="342">
        <f t="shared" si="24"/>
        <v>1309937.6043762933</v>
      </c>
      <c r="AL65" s="342">
        <f t="shared" ca="1" si="35"/>
        <v>2511773.976466679</v>
      </c>
      <c r="AM65" s="342">
        <f t="shared" ca="1" si="25"/>
        <v>1816456.5651363444</v>
      </c>
      <c r="AN65" s="1296">
        <v>0.35</v>
      </c>
      <c r="AO65" s="342">
        <f t="shared" si="26"/>
        <v>1246478.5154937839</v>
      </c>
      <c r="AP65" s="347">
        <f t="shared" ca="1" si="27"/>
        <v>2843984.3305010693</v>
      </c>
      <c r="AQ65" s="347">
        <f t="shared" ca="1" si="36"/>
        <v>2953459.7055655988</v>
      </c>
      <c r="AR65" s="347">
        <f t="shared" ca="1" si="28"/>
        <v>4235643.6548640747</v>
      </c>
      <c r="AS65" s="347">
        <f t="shared" ca="1" si="29"/>
        <v>4092421.2278288212</v>
      </c>
      <c r="AT65" s="347"/>
      <c r="AU65" s="347"/>
      <c r="AV65" s="335"/>
      <c r="AW65" s="214"/>
      <c r="AX65" s="214"/>
      <c r="AY65" s="335"/>
      <c r="AZ65" s="335"/>
      <c r="BA65" s="335"/>
      <c r="BB65" s="335"/>
    </row>
    <row r="66" spans="1:54" s="313" customFormat="1" ht="15" customHeight="1" x14ac:dyDescent="0.35">
      <c r="A66" s="345"/>
      <c r="D66" s="230">
        <f t="shared" si="30"/>
        <v>2048</v>
      </c>
      <c r="E66" s="313">
        <f>D66-YEAR(Control!$H$19)+1</f>
        <v>21</v>
      </c>
      <c r="F66" s="312"/>
      <c r="G66" s="1150">
        <f ca="1">OFFSET('Annual FOM Costs'!$H$34,,($E66-1))</f>
        <v>1.6226355744853334</v>
      </c>
      <c r="H66" s="1150"/>
      <c r="I66" s="347">
        <f t="shared" ca="1" si="6"/>
        <v>775536.86168332421</v>
      </c>
      <c r="J66" s="347">
        <f t="shared" ca="1" si="7"/>
        <v>303678.03864284715</v>
      </c>
      <c r="K66" s="342">
        <f t="shared" si="8"/>
        <v>2059009.094744134</v>
      </c>
      <c r="L66" s="342">
        <f t="shared" ca="1" si="31"/>
        <v>2362687.1333869812</v>
      </c>
      <c r="M66" s="342">
        <f t="shared" ca="1" si="9"/>
        <v>446101.4166470762</v>
      </c>
      <c r="N66" s="1296">
        <v>0.317</v>
      </c>
      <c r="O66" s="342">
        <f t="shared" si="10"/>
        <v>1959404.0901328195</v>
      </c>
      <c r="P66" s="347">
        <f t="shared" ca="1" si="11"/>
        <v>698450.74366718135</v>
      </c>
      <c r="Q66" s="347">
        <f t="shared" ca="1" si="32"/>
        <v>1551978.1252235384</v>
      </c>
      <c r="R66" s="347">
        <f t="shared" ca="1" si="12"/>
        <v>977390.65209095436</v>
      </c>
      <c r="S66" s="347">
        <f t="shared" ca="1" si="13"/>
        <v>731243.59702878748</v>
      </c>
      <c r="T66" s="347"/>
      <c r="U66" s="335"/>
      <c r="V66" s="347">
        <f t="shared" ca="1" si="14"/>
        <v>5312839.4113904824</v>
      </c>
      <c r="W66" s="347">
        <f t="shared" ca="1" si="15"/>
        <v>2081483.5852022078</v>
      </c>
      <c r="X66" s="342">
        <f t="shared" si="16"/>
        <v>6859379.9478366906</v>
      </c>
      <c r="Y66" s="342">
        <f t="shared" ca="1" si="33"/>
        <v>8940863.5330388993</v>
      </c>
      <c r="Z66" s="342">
        <f t="shared" ca="1" si="17"/>
        <v>3073501.8967398321</v>
      </c>
      <c r="AA66" s="1296">
        <v>0.317</v>
      </c>
      <c r="AB66" s="342">
        <f t="shared" si="18"/>
        <v>6529145.4666513782</v>
      </c>
      <c r="AC66" s="347">
        <f t="shared" ca="1" si="19"/>
        <v>4812111.3391099954</v>
      </c>
      <c r="AD66" s="347">
        <f t="shared" ca="1" si="34"/>
        <v>7207379.3512506019</v>
      </c>
      <c r="AE66" s="347">
        <f t="shared" ca="1" si="20"/>
        <v>6704184.5979537163</v>
      </c>
      <c r="AF66" s="347">
        <f t="shared" ca="1" si="21"/>
        <v>5004452.4540992863</v>
      </c>
      <c r="AG66" s="1333"/>
      <c r="AH66" s="335"/>
      <c r="AI66" s="347">
        <f t="shared" ca="1" si="22"/>
        <v>3761703.7596634394</v>
      </c>
      <c r="AJ66" s="347">
        <f t="shared" ca="1" si="23"/>
        <v>1204400.8412675813</v>
      </c>
      <c r="AK66" s="342">
        <f t="shared" si="24"/>
        <v>1182796.6015985941</v>
      </c>
      <c r="AL66" s="342">
        <f t="shared" ca="1" si="35"/>
        <v>2387197.4428661754</v>
      </c>
      <c r="AM66" s="342">
        <f t="shared" ca="1" si="25"/>
        <v>1820332.5061389494</v>
      </c>
      <c r="AN66" s="1296">
        <v>0.317</v>
      </c>
      <c r="AO66" s="342">
        <f t="shared" si="26"/>
        <v>1128953.3983186558</v>
      </c>
      <c r="AP66" s="347">
        <f t="shared" ca="1" si="27"/>
        <v>2850052.8023208333</v>
      </c>
      <c r="AQ66" s="347">
        <f t="shared" ca="1" si="36"/>
        <v>2899669.3533892194</v>
      </c>
      <c r="AR66" s="347">
        <f t="shared" ca="1" si="28"/>
        <v>4244681.6386118885</v>
      </c>
      <c r="AS66" s="347">
        <f t="shared" ca="1" si="29"/>
        <v>4101153.6046669553</v>
      </c>
      <c r="AT66" s="347"/>
      <c r="AU66" s="347"/>
      <c r="AV66" s="335"/>
      <c r="AW66" s="214"/>
      <c r="AX66" s="214"/>
      <c r="AY66" s="335"/>
      <c r="AZ66" s="335"/>
      <c r="BA66" s="335"/>
      <c r="BB66" s="335"/>
    </row>
    <row r="67" spans="1:54" s="313" customFormat="1" ht="15" customHeight="1" x14ac:dyDescent="0.35">
      <c r="A67" s="345"/>
      <c r="D67" s="230">
        <f t="shared" si="30"/>
        <v>2049</v>
      </c>
      <c r="E67" s="313">
        <f>D67-YEAR(Control!$H$19)+1</f>
        <v>22</v>
      </c>
      <c r="F67" s="312"/>
      <c r="G67" s="1150">
        <f ca="1">OFFSET('Annual FOM Costs'!$H$34,,($E67-1))</f>
        <v>1.6226355744853334</v>
      </c>
      <c r="H67" s="1150"/>
      <c r="I67" s="347">
        <f t="shared" ca="1" si="6"/>
        <v>775536.86168332421</v>
      </c>
      <c r="J67" s="347">
        <f t="shared" ca="1" si="7"/>
        <v>303678.03864284715</v>
      </c>
      <c r="K67" s="342">
        <f t="shared" si="8"/>
        <v>1837682.384234179</v>
      </c>
      <c r="L67" s="342">
        <f t="shared" ca="1" si="31"/>
        <v>2141360.4228770263</v>
      </c>
      <c r="M67" s="342">
        <f t="shared" ca="1" si="9"/>
        <v>446101.4166470762</v>
      </c>
      <c r="N67" s="1296">
        <v>0.29799999999999999</v>
      </c>
      <c r="O67" s="342">
        <f t="shared" si="10"/>
        <v>1841963.466434007</v>
      </c>
      <c r="P67" s="347">
        <f t="shared" ca="1" si="11"/>
        <v>698450.74366718135</v>
      </c>
      <c r="Q67" s="347">
        <f t="shared" ca="1" si="32"/>
        <v>1493257.8133741324</v>
      </c>
      <c r="R67" s="347">
        <f t="shared" ca="1" si="12"/>
        <v>977390.65209095436</v>
      </c>
      <c r="S67" s="347">
        <f t="shared" ca="1" si="13"/>
        <v>731243.59702878748</v>
      </c>
      <c r="T67" s="347"/>
      <c r="U67" s="335"/>
      <c r="V67" s="347">
        <f t="shared" ca="1" si="14"/>
        <v>5312839.4113904824</v>
      </c>
      <c r="W67" s="347">
        <f t="shared" ca="1" si="15"/>
        <v>2081483.5852022078</v>
      </c>
      <c r="X67" s="342">
        <f t="shared" si="16"/>
        <v>6122052.4615871459</v>
      </c>
      <c r="Y67" s="342">
        <f t="shared" ca="1" si="33"/>
        <v>8203536.0467893537</v>
      </c>
      <c r="Z67" s="342">
        <f t="shared" ca="1" si="17"/>
        <v>3073501.8967398321</v>
      </c>
      <c r="AA67" s="1296">
        <v>0.29799999999999999</v>
      </c>
      <c r="AB67" s="342">
        <f t="shared" si="18"/>
        <v>6137808.6721202228</v>
      </c>
      <c r="AC67" s="347">
        <f t="shared" ca="1" si="19"/>
        <v>4812111.3391099954</v>
      </c>
      <c r="AD67" s="347">
        <f t="shared" ca="1" si="34"/>
        <v>7011710.9539850242</v>
      </c>
      <c r="AE67" s="347">
        <f t="shared" ca="1" si="20"/>
        <v>6704184.5979537163</v>
      </c>
      <c r="AF67" s="347">
        <f t="shared" ca="1" si="21"/>
        <v>5004452.4540992863</v>
      </c>
      <c r="AG67" s="1333"/>
      <c r="AH67" s="335"/>
      <c r="AI67" s="347">
        <f t="shared" ca="1" si="22"/>
        <v>3761703.7596634394</v>
      </c>
      <c r="AJ67" s="347">
        <f t="shared" ca="1" si="23"/>
        <v>1204400.8412675813</v>
      </c>
      <c r="AK67" s="342">
        <f t="shared" si="24"/>
        <v>1055655.5988208952</v>
      </c>
      <c r="AL67" s="342">
        <f t="shared" ca="1" si="35"/>
        <v>2260056.4400884765</v>
      </c>
      <c r="AM67" s="342">
        <f t="shared" ca="1" si="25"/>
        <v>1820332.5061389494</v>
      </c>
      <c r="AN67" s="1296">
        <v>0.29799999999999999</v>
      </c>
      <c r="AO67" s="342">
        <f t="shared" si="26"/>
        <v>1061287.421763279</v>
      </c>
      <c r="AP67" s="347">
        <f t="shared" ca="1" si="27"/>
        <v>2850052.8023208333</v>
      </c>
      <c r="AQ67" s="347">
        <f t="shared" ca="1" si="36"/>
        <v>2865836.3651115308</v>
      </c>
      <c r="AR67" s="347">
        <f t="shared" ca="1" si="28"/>
        <v>4244681.6386118885</v>
      </c>
      <c r="AS67" s="347">
        <f t="shared" ca="1" si="29"/>
        <v>4101153.6046669553</v>
      </c>
      <c r="AT67" s="347"/>
      <c r="AU67" s="347"/>
      <c r="AV67" s="335"/>
      <c r="AW67" s="214"/>
      <c r="AX67" s="214"/>
      <c r="AY67" s="335"/>
      <c r="AZ67" s="335"/>
      <c r="BA67" s="335"/>
      <c r="BB67" s="335"/>
    </row>
    <row r="68" spans="1:54" s="313" customFormat="1" ht="15" customHeight="1" x14ac:dyDescent="0.35">
      <c r="A68" s="345"/>
      <c r="D68" s="230">
        <f t="shared" si="30"/>
        <v>2050</v>
      </c>
      <c r="E68" s="313">
        <f>D68-YEAR(Control!$H$19)+1</f>
        <v>23</v>
      </c>
      <c r="F68" s="312"/>
      <c r="G68" s="1150">
        <f ca="1">OFFSET('Annual FOM Costs'!$H$34,,($E68-1))</f>
        <v>1.6226355744853334</v>
      </c>
      <c r="H68" s="1150"/>
      <c r="I68" s="347">
        <f t="shared" ca="1" si="6"/>
        <v>775536.86168332421</v>
      </c>
      <c r="J68" s="347">
        <f t="shared" ca="1" si="7"/>
        <v>303678.03864284715</v>
      </c>
      <c r="K68" s="342">
        <f t="shared" si="8"/>
        <v>1676717.5038633018</v>
      </c>
      <c r="L68" s="342">
        <f t="shared" ca="1" si="31"/>
        <v>1980395.542506149</v>
      </c>
      <c r="M68" s="342">
        <f t="shared" ca="1" si="9"/>
        <v>446101.4166470762</v>
      </c>
      <c r="N68" s="1296">
        <v>0.28000000000000003</v>
      </c>
      <c r="O68" s="342">
        <f t="shared" si="10"/>
        <v>1730703.9281930269</v>
      </c>
      <c r="P68" s="347">
        <f t="shared" ca="1" si="11"/>
        <v>698450.74366718135</v>
      </c>
      <c r="Q68" s="347">
        <f t="shared" ca="1" si="32"/>
        <v>1437628.0442536422</v>
      </c>
      <c r="R68" s="347">
        <f t="shared" ca="1" si="12"/>
        <v>977390.65209095436</v>
      </c>
      <c r="S68" s="347">
        <f t="shared" ca="1" si="13"/>
        <v>731243.59702878748</v>
      </c>
      <c r="T68" s="347"/>
      <c r="U68" s="335"/>
      <c r="V68" s="347">
        <f t="shared" ca="1" si="14"/>
        <v>5312839.4113904824</v>
      </c>
      <c r="W68" s="347">
        <f t="shared" ca="1" si="15"/>
        <v>2081483.5852022078</v>
      </c>
      <c r="X68" s="342">
        <f t="shared" si="16"/>
        <v>5585814.2897692928</v>
      </c>
      <c r="Y68" s="342">
        <f t="shared" ca="1" si="33"/>
        <v>7667297.8749715006</v>
      </c>
      <c r="Z68" s="342">
        <f t="shared" ca="1" si="17"/>
        <v>3073501.8967398321</v>
      </c>
      <c r="AA68" s="1296">
        <v>0.28000000000000003</v>
      </c>
      <c r="AB68" s="342">
        <f t="shared" si="18"/>
        <v>5767068.5509854453</v>
      </c>
      <c r="AC68" s="347">
        <f t="shared" ca="1" si="19"/>
        <v>4812111.3391099954</v>
      </c>
      <c r="AD68" s="347">
        <f t="shared" ca="1" si="34"/>
        <v>6826340.8934176359</v>
      </c>
      <c r="AE68" s="347">
        <f t="shared" ca="1" si="20"/>
        <v>6704184.5979537163</v>
      </c>
      <c r="AF68" s="347">
        <f t="shared" ca="1" si="21"/>
        <v>5004452.4540992863</v>
      </c>
      <c r="AG68" s="1333"/>
      <c r="AH68" s="335"/>
      <c r="AI68" s="347">
        <f t="shared" ca="1" si="22"/>
        <v>3761703.7596634394</v>
      </c>
      <c r="AJ68" s="347">
        <f t="shared" ca="1" si="23"/>
        <v>1204400.8412675813</v>
      </c>
      <c r="AK68" s="342">
        <f t="shared" si="24"/>
        <v>963189.41498256871</v>
      </c>
      <c r="AL68" s="342">
        <f t="shared" ca="1" si="35"/>
        <v>2167590.25625015</v>
      </c>
      <c r="AM68" s="342">
        <f t="shared" ca="1" si="25"/>
        <v>1820332.5061389494</v>
      </c>
      <c r="AN68" s="1296">
        <v>0.28000000000000003</v>
      </c>
      <c r="AO68" s="342">
        <f t="shared" si="26"/>
        <v>997182.81239502726</v>
      </c>
      <c r="AP68" s="347">
        <f t="shared" ca="1" si="27"/>
        <v>2850052.8023208333</v>
      </c>
      <c r="AQ68" s="347">
        <f t="shared" ca="1" si="36"/>
        <v>2833784.0604274049</v>
      </c>
      <c r="AR68" s="347">
        <f t="shared" ca="1" si="28"/>
        <v>4244681.6386118885</v>
      </c>
      <c r="AS68" s="347">
        <f t="shared" ca="1" si="29"/>
        <v>4101153.6046669553</v>
      </c>
      <c r="AT68" s="347"/>
      <c r="AU68" s="347"/>
      <c r="AV68" s="335"/>
      <c r="AW68" s="214"/>
      <c r="AX68" s="214"/>
      <c r="AY68" s="335"/>
      <c r="AZ68" s="335"/>
      <c r="BA68" s="335"/>
      <c r="BB68" s="335"/>
    </row>
    <row r="69" spans="1:54" s="313" customFormat="1" ht="15" customHeight="1" x14ac:dyDescent="0.35">
      <c r="A69" s="345"/>
      <c r="D69" s="230">
        <f t="shared" si="30"/>
        <v>2051</v>
      </c>
      <c r="E69" s="313">
        <f>D69-YEAR(Control!$H$19)+1</f>
        <v>24</v>
      </c>
      <c r="F69" s="312"/>
      <c r="G69" s="1150">
        <f ca="1">OFFSET('Annual FOM Costs'!$H$34,,($E69-1))</f>
        <v>1.6226355744853334</v>
      </c>
      <c r="H69" s="1150"/>
      <c r="I69" s="347">
        <f t="shared" ca="1" si="6"/>
        <v>775536.86168332421</v>
      </c>
      <c r="J69" s="347">
        <f t="shared" ca="1" si="7"/>
        <v>303678.03864284715</v>
      </c>
      <c r="K69" s="342">
        <f t="shared" si="8"/>
        <v>1676717.5038633018</v>
      </c>
      <c r="L69" s="342">
        <f t="shared" ca="1" si="31"/>
        <v>1980395.542506149</v>
      </c>
      <c r="M69" s="342">
        <f t="shared" ca="1" si="9"/>
        <v>446101.4166470762</v>
      </c>
      <c r="N69" s="1296">
        <v>0.26100000000000001</v>
      </c>
      <c r="O69" s="342">
        <f t="shared" si="10"/>
        <v>1613263.3044942142</v>
      </c>
      <c r="P69" s="347">
        <f t="shared" ca="1" si="11"/>
        <v>698450.74366718135</v>
      </c>
      <c r="Q69" s="347">
        <f t="shared" ca="1" si="32"/>
        <v>1378907.7324042358</v>
      </c>
      <c r="R69" s="347">
        <f t="shared" ca="1" si="12"/>
        <v>977390.65209095436</v>
      </c>
      <c r="S69" s="347">
        <f t="shared" ca="1" si="13"/>
        <v>731243.59702878748</v>
      </c>
      <c r="T69" s="347"/>
      <c r="U69" s="335"/>
      <c r="V69" s="347">
        <f t="shared" ca="1" si="14"/>
        <v>5312839.4113904824</v>
      </c>
      <c r="W69" s="347">
        <f t="shared" ca="1" si="15"/>
        <v>2081483.5852022078</v>
      </c>
      <c r="X69" s="342">
        <f t="shared" si="16"/>
        <v>5585814.2897692928</v>
      </c>
      <c r="Y69" s="342">
        <f t="shared" ca="1" si="33"/>
        <v>7667297.8749715006</v>
      </c>
      <c r="Z69" s="342">
        <f t="shared" ca="1" si="17"/>
        <v>3073501.8967398321</v>
      </c>
      <c r="AA69" s="1296">
        <v>0.26100000000000001</v>
      </c>
      <c r="AB69" s="342">
        <f t="shared" si="18"/>
        <v>5375731.7564542899</v>
      </c>
      <c r="AC69" s="347">
        <f t="shared" ca="1" si="19"/>
        <v>4812111.3391099954</v>
      </c>
      <c r="AD69" s="347">
        <f t="shared" ca="1" si="34"/>
        <v>6630672.4961520582</v>
      </c>
      <c r="AE69" s="347">
        <f t="shared" ca="1" si="20"/>
        <v>6704184.5979537163</v>
      </c>
      <c r="AF69" s="347">
        <f t="shared" ca="1" si="21"/>
        <v>5004452.4540992863</v>
      </c>
      <c r="AG69" s="1333"/>
      <c r="AH69" s="335"/>
      <c r="AI69" s="347">
        <f t="shared" ca="1" si="22"/>
        <v>3761703.7596634394</v>
      </c>
      <c r="AJ69" s="347">
        <f t="shared" ca="1" si="23"/>
        <v>1204400.8412675813</v>
      </c>
      <c r="AK69" s="342">
        <f t="shared" si="24"/>
        <v>963189.41498256871</v>
      </c>
      <c r="AL69" s="342">
        <f t="shared" ca="1" si="35"/>
        <v>2167590.25625015</v>
      </c>
      <c r="AM69" s="342">
        <f t="shared" ca="1" si="25"/>
        <v>1820332.5061389494</v>
      </c>
      <c r="AN69" s="1296">
        <v>0.26100000000000001</v>
      </c>
      <c r="AO69" s="342">
        <f t="shared" si="26"/>
        <v>929516.83583965036</v>
      </c>
      <c r="AP69" s="347">
        <f t="shared" ca="1" si="27"/>
        <v>2850052.8023208333</v>
      </c>
      <c r="AQ69" s="347">
        <f t="shared" ca="1" si="36"/>
        <v>2799951.0721497163</v>
      </c>
      <c r="AR69" s="347">
        <f t="shared" ca="1" si="28"/>
        <v>4244681.6386118885</v>
      </c>
      <c r="AS69" s="347">
        <f t="shared" ca="1" si="29"/>
        <v>4101153.6046669553</v>
      </c>
      <c r="AT69" s="347"/>
      <c r="AU69" s="347"/>
      <c r="AV69" s="335"/>
      <c r="AW69" s="214"/>
      <c r="AX69" s="214"/>
      <c r="AY69" s="335"/>
      <c r="AZ69" s="335"/>
      <c r="BA69" s="335"/>
      <c r="BB69" s="335"/>
    </row>
    <row r="70" spans="1:54" s="313" customFormat="1" ht="15" customHeight="1" x14ac:dyDescent="0.35">
      <c r="A70" s="345"/>
      <c r="D70" s="230">
        <f t="shared" si="30"/>
        <v>2052</v>
      </c>
      <c r="E70" s="313">
        <f>D70-YEAR(Control!$H$19)+1</f>
        <v>25</v>
      </c>
      <c r="F70" s="312"/>
      <c r="G70" s="1150">
        <f ca="1">OFFSET('Annual FOM Costs'!$H$34,,($E70-1))</f>
        <v>1.6226355744853334</v>
      </c>
      <c r="H70" s="1150"/>
      <c r="I70" s="347">
        <f t="shared" ca="1" si="6"/>
        <v>775536.86168332421</v>
      </c>
      <c r="J70" s="347">
        <f t="shared" ca="1" si="7"/>
        <v>303678.03864284715</v>
      </c>
      <c r="K70" s="342">
        <f t="shared" si="8"/>
        <v>1676717.5038633018</v>
      </c>
      <c r="L70" s="342">
        <f t="shared" ca="1" si="31"/>
        <v>1980395.542506149</v>
      </c>
      <c r="M70" s="342">
        <f t="shared" ca="1" si="9"/>
        <v>446101.4166470762</v>
      </c>
      <c r="N70" s="1296">
        <v>0.24299999999999999</v>
      </c>
      <c r="O70" s="342">
        <f t="shared" si="10"/>
        <v>1502003.7662532339</v>
      </c>
      <c r="P70" s="347">
        <f t="shared" ca="1" si="11"/>
        <v>698450.74366718135</v>
      </c>
      <c r="Q70" s="347">
        <f t="shared" ca="1" si="32"/>
        <v>1323277.9632837456</v>
      </c>
      <c r="R70" s="347">
        <f t="shared" ca="1" si="12"/>
        <v>977390.65209095436</v>
      </c>
      <c r="S70" s="347">
        <f t="shared" ca="1" si="13"/>
        <v>731243.59702878748</v>
      </c>
      <c r="T70" s="347"/>
      <c r="U70" s="335"/>
      <c r="V70" s="347">
        <f t="shared" ca="1" si="14"/>
        <v>5312839.4113904824</v>
      </c>
      <c r="W70" s="347">
        <f t="shared" ca="1" si="15"/>
        <v>2081483.5852022078</v>
      </c>
      <c r="X70" s="342">
        <f t="shared" si="16"/>
        <v>5585814.2897692928</v>
      </c>
      <c r="Y70" s="342">
        <f t="shared" ca="1" si="33"/>
        <v>7667297.8749715006</v>
      </c>
      <c r="Z70" s="342">
        <f t="shared" ca="1" si="17"/>
        <v>3073501.8967398321</v>
      </c>
      <c r="AA70" s="1296">
        <v>0.24299999999999999</v>
      </c>
      <c r="AB70" s="342">
        <f t="shared" si="18"/>
        <v>5004991.6353195105</v>
      </c>
      <c r="AC70" s="347">
        <f t="shared" ca="1" si="19"/>
        <v>4812111.3391099954</v>
      </c>
      <c r="AD70" s="347">
        <f t="shared" ca="1" si="34"/>
        <v>6445302.435584669</v>
      </c>
      <c r="AE70" s="347">
        <f t="shared" ca="1" si="20"/>
        <v>6704184.5979537163</v>
      </c>
      <c r="AF70" s="347">
        <f t="shared" ca="1" si="21"/>
        <v>5004452.4540992863</v>
      </c>
      <c r="AG70" s="1333"/>
      <c r="AH70" s="335"/>
      <c r="AI70" s="347">
        <f t="shared" ca="1" si="22"/>
        <v>3761703.7596634394</v>
      </c>
      <c r="AJ70" s="347">
        <f t="shared" ca="1" si="23"/>
        <v>1204400.8412675813</v>
      </c>
      <c r="AK70" s="342">
        <f t="shared" si="24"/>
        <v>963189.41498256871</v>
      </c>
      <c r="AL70" s="342">
        <f t="shared" ca="1" si="35"/>
        <v>2167590.25625015</v>
      </c>
      <c r="AM70" s="342">
        <f t="shared" ca="1" si="25"/>
        <v>1820332.5061389494</v>
      </c>
      <c r="AN70" s="1296">
        <v>0.24299999999999999</v>
      </c>
      <c r="AO70" s="342">
        <f t="shared" si="26"/>
        <v>865412.22647139849</v>
      </c>
      <c r="AP70" s="347">
        <f t="shared" ca="1" si="27"/>
        <v>2850052.8023208333</v>
      </c>
      <c r="AQ70" s="347">
        <f t="shared" ca="1" si="36"/>
        <v>2767898.7674655905</v>
      </c>
      <c r="AR70" s="347">
        <f t="shared" ca="1" si="28"/>
        <v>4244681.6386118885</v>
      </c>
      <c r="AS70" s="347">
        <f t="shared" ca="1" si="29"/>
        <v>4101153.6046669553</v>
      </c>
      <c r="AT70" s="347"/>
      <c r="AU70" s="347"/>
      <c r="AV70" s="335"/>
      <c r="AW70" s="214"/>
      <c r="AX70" s="214"/>
      <c r="AY70" s="335"/>
      <c r="AZ70" s="335"/>
      <c r="BA70" s="335"/>
      <c r="BB70" s="335"/>
    </row>
    <row r="71" spans="1:54" s="313" customFormat="1" ht="15" customHeight="1" x14ac:dyDescent="0.35">
      <c r="A71" s="345"/>
      <c r="D71" s="230">
        <f t="shared" si="30"/>
        <v>2053</v>
      </c>
      <c r="E71" s="313">
        <f>D71-YEAR(Control!$H$19)+1</f>
        <v>26</v>
      </c>
      <c r="F71" s="312"/>
      <c r="G71" s="1150">
        <f ca="1">OFFSET('Annual FOM Costs'!$H$34,,($E71-1))</f>
        <v>1.6226355744853334</v>
      </c>
      <c r="H71" s="1150"/>
      <c r="I71" s="347">
        <f t="shared" ca="1" si="6"/>
        <v>775536.86168332421</v>
      </c>
      <c r="J71" s="347">
        <f t="shared" ca="1" si="7"/>
        <v>303678.03864284715</v>
      </c>
      <c r="K71" s="342">
        <f t="shared" si="8"/>
        <v>1676717.5038633018</v>
      </c>
      <c r="L71" s="342">
        <f ca="1">K71+J71</f>
        <v>1980395.542506149</v>
      </c>
      <c r="M71" s="342">
        <f t="shared" ca="1" si="9"/>
        <v>446101.4166470762</v>
      </c>
      <c r="N71" s="1296">
        <v>0.224</v>
      </c>
      <c r="O71" s="342">
        <f t="shared" si="10"/>
        <v>1384563.1425544214</v>
      </c>
      <c r="P71" s="347">
        <f t="shared" ca="1" si="11"/>
        <v>698450.74366718135</v>
      </c>
      <c r="Q71" s="347">
        <f ca="1">AVERAGE(M71+O71,P71)</f>
        <v>1264557.6514343396</v>
      </c>
      <c r="R71" s="347">
        <f t="shared" ca="1" si="12"/>
        <v>977390.65209095436</v>
      </c>
      <c r="S71" s="347">
        <f t="shared" ca="1" si="13"/>
        <v>731243.59702878748</v>
      </c>
      <c r="T71" s="347"/>
      <c r="U71" s="335"/>
      <c r="V71" s="347">
        <f t="shared" ca="1" si="14"/>
        <v>5312839.4113904824</v>
      </c>
      <c r="W71" s="347">
        <f t="shared" ca="1" si="15"/>
        <v>2081483.5852022078</v>
      </c>
      <c r="X71" s="342">
        <f t="shared" si="16"/>
        <v>5585814.2897692928</v>
      </c>
      <c r="Y71" s="342">
        <f ca="1">X71+W71</f>
        <v>7667297.8749715006</v>
      </c>
      <c r="Z71" s="342">
        <f t="shared" ca="1" si="17"/>
        <v>3073501.8967398321</v>
      </c>
      <c r="AA71" s="1296">
        <v>0.224</v>
      </c>
      <c r="AB71" s="342">
        <f t="shared" si="18"/>
        <v>4613654.8407883551</v>
      </c>
      <c r="AC71" s="347">
        <f t="shared" ca="1" si="19"/>
        <v>4812111.3391099954</v>
      </c>
      <c r="AD71" s="347">
        <f ca="1">AVERAGE(Z71+AB71,AC71)</f>
        <v>6249634.0383190913</v>
      </c>
      <c r="AE71" s="347">
        <f t="shared" ca="1" si="20"/>
        <v>6704184.5979537163</v>
      </c>
      <c r="AF71" s="347">
        <f t="shared" ca="1" si="21"/>
        <v>5004452.4540992863</v>
      </c>
      <c r="AG71" s="1333"/>
      <c r="AH71" s="335"/>
      <c r="AI71" s="347">
        <f t="shared" ca="1" si="22"/>
        <v>3761703.7596634394</v>
      </c>
      <c r="AJ71" s="347">
        <f t="shared" ca="1" si="23"/>
        <v>1204400.8412675813</v>
      </c>
      <c r="AK71" s="342">
        <f t="shared" si="24"/>
        <v>963189.41498256871</v>
      </c>
      <c r="AL71" s="342">
        <f ca="1">AK71+AJ71</f>
        <v>2167590.25625015</v>
      </c>
      <c r="AM71" s="342">
        <f t="shared" ca="1" si="25"/>
        <v>1820332.5061389494</v>
      </c>
      <c r="AN71" s="1296">
        <v>0.224</v>
      </c>
      <c r="AO71" s="342">
        <f t="shared" si="26"/>
        <v>797746.24991602171</v>
      </c>
      <c r="AP71" s="347">
        <f t="shared" ca="1" si="27"/>
        <v>2850052.8023208333</v>
      </c>
      <c r="AQ71" s="347">
        <f ca="1">AVERAGE(AM71+AO71,AP71)</f>
        <v>2734065.7791879023</v>
      </c>
      <c r="AR71" s="347">
        <f t="shared" ca="1" si="28"/>
        <v>4244681.6386118885</v>
      </c>
      <c r="AS71" s="347">
        <f t="shared" ca="1" si="29"/>
        <v>4101153.6046669553</v>
      </c>
      <c r="AT71" s="347"/>
      <c r="AU71" s="347"/>
      <c r="AV71" s="335"/>
      <c r="AW71" s="214"/>
      <c r="AX71" s="214"/>
      <c r="AY71" s="335"/>
      <c r="AZ71" s="335"/>
      <c r="BA71" s="335"/>
      <c r="BB71" s="335"/>
    </row>
    <row r="72" spans="1:54" s="313" customFormat="1" ht="15" customHeight="1" x14ac:dyDescent="0.35">
      <c r="A72" s="345"/>
      <c r="D72" s="230">
        <f t="shared" si="30"/>
        <v>2054</v>
      </c>
      <c r="E72" s="313">
        <f>D72-YEAR(Control!$H$19)+1</f>
        <v>27</v>
      </c>
      <c r="F72" s="312"/>
      <c r="G72" s="1150">
        <f ca="1">OFFSET('Annual FOM Costs'!$H$34,,($E72-1))</f>
        <v>1.6226355744853334</v>
      </c>
      <c r="H72" s="1150"/>
      <c r="I72" s="347">
        <f t="shared" ca="1" si="6"/>
        <v>775536.86168332421</v>
      </c>
      <c r="J72" s="347">
        <f t="shared" ca="1" si="7"/>
        <v>303678.03864284715</v>
      </c>
      <c r="K72" s="342">
        <f t="shared" si="8"/>
        <v>1676717.5038633018</v>
      </c>
      <c r="L72" s="342">
        <f ca="1">K72+J72</f>
        <v>1980395.542506149</v>
      </c>
      <c r="M72" s="342">
        <f t="shared" ca="1" si="9"/>
        <v>446101.4166470762</v>
      </c>
      <c r="N72" s="1296">
        <v>0.20599999999999999</v>
      </c>
      <c r="O72" s="342">
        <f t="shared" si="10"/>
        <v>1273303.6043134411</v>
      </c>
      <c r="P72" s="347">
        <f t="shared" ca="1" si="11"/>
        <v>698450.74366718135</v>
      </c>
      <c r="Q72" s="347">
        <f ca="1">AVERAGE(M72+O72,P72)</f>
        <v>1208927.8823138494</v>
      </c>
      <c r="R72" s="347">
        <f t="shared" ca="1" si="12"/>
        <v>977390.65209095436</v>
      </c>
      <c r="S72" s="347">
        <f t="shared" ca="1" si="13"/>
        <v>731243.59702878748</v>
      </c>
      <c r="T72" s="347"/>
      <c r="U72" s="335"/>
      <c r="V72" s="347">
        <f t="shared" ca="1" si="14"/>
        <v>5312839.4113904824</v>
      </c>
      <c r="W72" s="347">
        <f t="shared" ca="1" si="15"/>
        <v>2081483.5852022078</v>
      </c>
      <c r="X72" s="342">
        <f t="shared" si="16"/>
        <v>5585814.2897692928</v>
      </c>
      <c r="Y72" s="342">
        <f ca="1">X72+W72</f>
        <v>7667297.8749715006</v>
      </c>
      <c r="Z72" s="342">
        <f t="shared" ca="1" si="17"/>
        <v>3073501.8967398321</v>
      </c>
      <c r="AA72" s="1296">
        <v>0.20599999999999999</v>
      </c>
      <c r="AB72" s="342">
        <f t="shared" si="18"/>
        <v>4242914.7196535766</v>
      </c>
      <c r="AC72" s="347">
        <f t="shared" ca="1" si="19"/>
        <v>4812111.3391099954</v>
      </c>
      <c r="AD72" s="347">
        <f ca="1">AVERAGE(Z72+AB72,AC72)</f>
        <v>6064263.9777517021</v>
      </c>
      <c r="AE72" s="347">
        <f t="shared" ca="1" si="20"/>
        <v>6704184.5979537163</v>
      </c>
      <c r="AF72" s="347">
        <f t="shared" ca="1" si="21"/>
        <v>5004452.4540992863</v>
      </c>
      <c r="AG72" s="1333"/>
      <c r="AH72" s="335"/>
      <c r="AI72" s="347">
        <f t="shared" ca="1" si="22"/>
        <v>3761703.7596634394</v>
      </c>
      <c r="AJ72" s="347">
        <f t="shared" ca="1" si="23"/>
        <v>1204400.8412675813</v>
      </c>
      <c r="AK72" s="342">
        <f t="shared" si="24"/>
        <v>963189.41498256871</v>
      </c>
      <c r="AL72" s="342">
        <f ca="1">AK72+AJ72</f>
        <v>2167590.25625015</v>
      </c>
      <c r="AM72" s="342">
        <f t="shared" ca="1" si="25"/>
        <v>1820332.5061389494</v>
      </c>
      <c r="AN72" s="1296">
        <v>0.20599999999999999</v>
      </c>
      <c r="AO72" s="342">
        <f t="shared" si="26"/>
        <v>733641.64054776996</v>
      </c>
      <c r="AP72" s="347">
        <f t="shared" ca="1" si="27"/>
        <v>2850052.8023208333</v>
      </c>
      <c r="AQ72" s="347">
        <f ca="1">AVERAGE(AM72+AO72,AP72)</f>
        <v>2702013.4745037761</v>
      </c>
      <c r="AR72" s="347">
        <f t="shared" ca="1" si="28"/>
        <v>4244681.6386118885</v>
      </c>
      <c r="AS72" s="347">
        <f t="shared" ca="1" si="29"/>
        <v>4101153.6046669553</v>
      </c>
      <c r="AT72" s="347"/>
      <c r="AU72" s="347"/>
      <c r="AV72" s="335"/>
      <c r="AW72" s="214"/>
      <c r="AX72" s="214"/>
      <c r="AY72" s="335"/>
      <c r="AZ72" s="335"/>
      <c r="BA72" s="335"/>
      <c r="BB72" s="335"/>
    </row>
    <row r="73" spans="1:54" s="313" customFormat="1" ht="6" customHeight="1" thickBot="1" x14ac:dyDescent="0.4">
      <c r="D73" s="1709"/>
      <c r="E73" s="238"/>
      <c r="F73" s="1729"/>
      <c r="G73" s="238"/>
      <c r="H73" s="238"/>
      <c r="I73" s="1710"/>
      <c r="J73" s="1710"/>
      <c r="K73" s="1711"/>
      <c r="L73" s="1711"/>
      <c r="M73" s="1711"/>
      <c r="N73" s="1712"/>
      <c r="O73" s="1711"/>
      <c r="P73" s="1710"/>
      <c r="Q73" s="1710"/>
      <c r="R73" s="1710"/>
      <c r="S73" s="1710"/>
      <c r="T73" s="1710"/>
      <c r="U73" s="1057"/>
      <c r="V73" s="1710"/>
      <c r="W73" s="1710"/>
      <c r="X73" s="1711"/>
      <c r="Y73" s="1711"/>
      <c r="Z73" s="1711"/>
      <c r="AA73" s="1712"/>
      <c r="AB73" s="1711"/>
      <c r="AC73" s="1710"/>
      <c r="AD73" s="1710"/>
      <c r="AE73" s="1710"/>
      <c r="AF73" s="1710"/>
      <c r="AG73" s="1710"/>
      <c r="AH73" s="1057"/>
      <c r="AI73" s="1710"/>
      <c r="AJ73" s="1710"/>
      <c r="AK73" s="1711"/>
      <c r="AL73" s="1711"/>
      <c r="AM73" s="1711"/>
      <c r="AN73" s="1712"/>
      <c r="AO73" s="1711"/>
      <c r="AP73" s="1710"/>
      <c r="AQ73" s="1710"/>
      <c r="AR73" s="1710"/>
      <c r="AS73" s="1710"/>
      <c r="AT73" s="1333"/>
      <c r="AU73" s="1333"/>
      <c r="AV73" s="335"/>
      <c r="AW73" s="214"/>
      <c r="AX73" s="214"/>
      <c r="AY73" s="335"/>
      <c r="AZ73" s="335"/>
      <c r="BA73" s="335"/>
      <c r="BB73" s="335"/>
    </row>
    <row r="74" spans="1:54" s="313" customFormat="1" ht="6" customHeight="1" thickTop="1" x14ac:dyDescent="0.35">
      <c r="D74" s="1071"/>
      <c r="F74" s="312"/>
      <c r="I74" s="347"/>
      <c r="J74" s="347"/>
      <c r="K74" s="342"/>
      <c r="L74" s="342"/>
      <c r="M74" s="342"/>
      <c r="N74" s="349"/>
      <c r="O74" s="342"/>
      <c r="P74" s="347"/>
      <c r="Q74" s="347"/>
      <c r="R74" s="347"/>
      <c r="S74" s="347"/>
      <c r="T74" s="347"/>
      <c r="U74" s="335"/>
      <c r="V74" s="347"/>
      <c r="W74" s="347"/>
      <c r="X74" s="342"/>
      <c r="Y74" s="342"/>
      <c r="Z74" s="342"/>
      <c r="AA74" s="349"/>
      <c r="AB74" s="342"/>
      <c r="AC74" s="347"/>
      <c r="AD74" s="347"/>
      <c r="AE74" s="347"/>
      <c r="AF74" s="347"/>
      <c r="AG74" s="347"/>
      <c r="AH74" s="335"/>
      <c r="AI74" s="347"/>
      <c r="AJ74" s="347"/>
      <c r="AK74" s="342"/>
      <c r="AL74" s="342"/>
      <c r="AM74" s="342"/>
      <c r="AN74" s="349"/>
      <c r="AO74" s="342"/>
      <c r="AP74" s="347"/>
      <c r="AQ74" s="347"/>
      <c r="AR74" s="347"/>
      <c r="AS74" s="347"/>
      <c r="AT74" s="347"/>
      <c r="AU74" s="347"/>
      <c r="AV74" s="335"/>
      <c r="AW74" s="214"/>
      <c r="AX74" s="214"/>
      <c r="AY74" s="335"/>
      <c r="AZ74" s="335"/>
      <c r="BA74" s="335"/>
      <c r="BB74" s="335"/>
    </row>
    <row r="75" spans="1:54" s="313" customFormat="1" ht="15" customHeight="1" x14ac:dyDescent="0.35">
      <c r="D75" s="348" t="s">
        <v>50</v>
      </c>
      <c r="F75" s="1730"/>
      <c r="G75" s="348"/>
      <c r="H75" s="348"/>
      <c r="I75" s="348"/>
      <c r="J75" s="348"/>
      <c r="K75" s="348"/>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214"/>
      <c r="AX75" s="214"/>
      <c r="AY75" s="335"/>
      <c r="AZ75" s="335"/>
      <c r="BA75" s="335"/>
      <c r="BB75" s="335"/>
    </row>
    <row r="76" spans="1:54" s="1115" customFormat="1" ht="15" customHeight="1" x14ac:dyDescent="0.35">
      <c r="D76" s="404" t="s">
        <v>679</v>
      </c>
      <c r="AW76" s="214"/>
      <c r="AX76" s="214"/>
    </row>
    <row r="77" spans="1:54" s="313" customFormat="1" ht="15" customHeight="1" x14ac:dyDescent="0.35">
      <c r="D77" s="385" t="str">
        <f>D44&amp;" estimated property taxes are based on unescalated capital costs."</f>
        <v>2025 estimated property taxes are based on unescalated capital costs.</v>
      </c>
      <c r="F77" s="1730"/>
      <c r="G77" s="348"/>
      <c r="H77" s="348"/>
      <c r="I77" s="348"/>
      <c r="J77" s="348"/>
      <c r="K77" s="348"/>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214"/>
      <c r="AX77" s="214"/>
      <c r="AY77" s="335"/>
      <c r="AZ77" s="335"/>
      <c r="BA77" s="335"/>
      <c r="BB77" s="335"/>
    </row>
    <row r="78" spans="1:54" s="313" customFormat="1" ht="15" customHeight="1" x14ac:dyDescent="0.35">
      <c r="D78" s="2093" t="s">
        <v>693</v>
      </c>
      <c r="F78" s="1730"/>
      <c r="G78" s="348"/>
      <c r="H78" s="348"/>
      <c r="I78" s="348"/>
      <c r="J78" s="348"/>
      <c r="K78" s="348"/>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214"/>
      <c r="AX78" s="214"/>
      <c r="AY78" s="335"/>
      <c r="AZ78" s="335"/>
      <c r="BA78" s="335"/>
      <c r="BB78" s="335"/>
    </row>
    <row r="79" spans="1:54" s="313" customFormat="1" ht="15" customHeight="1" x14ac:dyDescent="0.35">
      <c r="D79" s="215" t="str">
        <f>K40&amp;", "&amp;X40&amp;", "&amp;AK40&amp;": ("&amp;$F$22&amp;", "&amp;F23&amp;", or "&amp;F24&amp;") x MAX("&amp;E40&amp;" x "&amp;$F$14&amp;", "&amp;F15&amp;") x "&amp;$F$13&amp;"."</f>
        <v>[F], [Q], [AB]: ([8], [9], or [10]) x MAX([B] x [3], [4]) x [2].</v>
      </c>
      <c r="F79" s="1730"/>
      <c r="G79" s="348"/>
      <c r="H79" s="348"/>
      <c r="I79" s="348"/>
      <c r="J79" s="348"/>
      <c r="K79" s="348"/>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214"/>
      <c r="AX79" s="214"/>
      <c r="AY79" s="335"/>
      <c r="AZ79" s="335"/>
      <c r="BA79" s="335"/>
      <c r="BB79" s="335"/>
    </row>
    <row r="80" spans="1:54" s="313" customFormat="1" ht="15" customHeight="1" x14ac:dyDescent="0.35">
      <c r="D80" s="385" t="str">
        <f>N40&amp;", "&amp;AA40&amp;", "&amp;AN40&amp;": Ohio Department of Taxation, 2025 form U-EN."</f>
        <v>[I], [T], [AE]: Ohio Department of Taxation, 2025 form U-EN.</v>
      </c>
      <c r="F80" s="1730"/>
      <c r="G80" s="348"/>
      <c r="H80" s="348"/>
      <c r="I80" s="348"/>
      <c r="J80" s="348"/>
      <c r="K80" s="348"/>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214"/>
      <c r="AX80" s="214"/>
      <c r="AY80" s="335"/>
      <c r="AZ80" s="335"/>
      <c r="BA80" s="335"/>
      <c r="BB80" s="335"/>
    </row>
    <row r="81" spans="4:54" s="313" customFormat="1" ht="15" customHeight="1" x14ac:dyDescent="0.35">
      <c r="D81" s="215" t="str">
        <f>O40&amp;", "&amp;AB40&amp;", "&amp;AO40&amp;": ("&amp;F22&amp;", "&amp;F23&amp;", or"&amp;F24&amp;") x ("&amp;N40&amp;", "&amp;AA40&amp;", or "&amp;AN40&amp;") x "&amp;$F$13&amp;"."</f>
        <v>[J], [U], [AF]: ([8], [9], or[10]) x ([I], [T], or [AE]) x [2].</v>
      </c>
      <c r="F81" s="1730"/>
      <c r="G81" s="348"/>
      <c r="H81" s="348"/>
      <c r="I81" s="348"/>
      <c r="J81" s="348"/>
      <c r="K81" s="348"/>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214"/>
      <c r="AX81" s="214"/>
      <c r="AY81" s="335"/>
      <c r="AZ81" s="335"/>
      <c r="BA81" s="335"/>
      <c r="BB81" s="335"/>
    </row>
    <row r="82" spans="4:54" s="313" customFormat="1" ht="15" customHeight="1" x14ac:dyDescent="0.35">
      <c r="D82" s="385"/>
      <c r="F82" s="1730"/>
      <c r="G82" s="348"/>
      <c r="H82" s="348"/>
      <c r="I82" s="348"/>
      <c r="J82" s="348"/>
      <c r="K82" s="348"/>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214"/>
      <c r="AX82" s="214"/>
      <c r="AY82" s="335"/>
      <c r="AZ82" s="335"/>
      <c r="BA82" s="335"/>
      <c r="BB82" s="335"/>
    </row>
    <row r="83" spans="4:54" s="313" customFormat="1" ht="15" customHeight="1" x14ac:dyDescent="0.35">
      <c r="D83" s="1071"/>
      <c r="F83" s="1722"/>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214"/>
      <c r="AX83" s="214"/>
      <c r="AY83" s="335"/>
      <c r="AZ83" s="335"/>
      <c r="BA83" s="335"/>
      <c r="BB83" s="335"/>
    </row>
    <row r="84" spans="4:54" s="313" customFormat="1" ht="15" customHeight="1" x14ac:dyDescent="0.35">
      <c r="D84" s="1071"/>
      <c r="F84" s="1722"/>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214"/>
      <c r="AX84" s="214"/>
      <c r="AY84" s="335"/>
      <c r="AZ84" s="335"/>
      <c r="BA84" s="335"/>
      <c r="BB84" s="335"/>
    </row>
    <row r="85" spans="4:54" s="313" customFormat="1" ht="15" customHeight="1" x14ac:dyDescent="0.35">
      <c r="D85" s="1071"/>
      <c r="F85" s="1722"/>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214"/>
      <c r="AX85" s="214"/>
      <c r="AY85" s="335"/>
      <c r="AZ85" s="335"/>
      <c r="BA85" s="335"/>
      <c r="BB85" s="335"/>
    </row>
    <row r="86" spans="4:54" s="313" customFormat="1" ht="15" customHeight="1" x14ac:dyDescent="0.35">
      <c r="D86" s="1071"/>
      <c r="F86" s="1722"/>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214"/>
      <c r="AX86" s="214"/>
      <c r="AY86" s="335"/>
      <c r="AZ86" s="335"/>
      <c r="BA86" s="335"/>
      <c r="BB86" s="335"/>
    </row>
    <row r="87" spans="4:54" s="313" customFormat="1" ht="15" customHeight="1" x14ac:dyDescent="0.35">
      <c r="D87" s="1071"/>
      <c r="F87" s="1722"/>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214"/>
      <c r="AX87" s="214"/>
      <c r="AY87" s="335"/>
      <c r="AZ87" s="335"/>
      <c r="BA87" s="335"/>
      <c r="BB87" s="335"/>
    </row>
    <row r="88" spans="4:54" s="313" customFormat="1" ht="15" customHeight="1" x14ac:dyDescent="0.35">
      <c r="D88" s="1071"/>
      <c r="F88" s="1722"/>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214"/>
      <c r="AX88" s="214"/>
      <c r="AY88" s="335"/>
      <c r="AZ88" s="335"/>
      <c r="BA88" s="335"/>
      <c r="BB88" s="335"/>
    </row>
    <row r="89" spans="4:54" ht="15" customHeight="1" x14ac:dyDescent="0.35">
      <c r="D89" s="348"/>
    </row>
    <row r="90" spans="4:54" ht="15" customHeight="1" x14ac:dyDescent="0.35">
      <c r="D90" s="348"/>
    </row>
  </sheetData>
  <mergeCells count="6">
    <mergeCell ref="AI29:AS29"/>
    <mergeCell ref="F36:G36"/>
    <mergeCell ref="D7:D8"/>
    <mergeCell ref="D32:D33"/>
    <mergeCell ref="I29:S29"/>
    <mergeCell ref="V29:AF29"/>
  </mergeCells>
  <conditionalFormatting sqref="X76:Y76">
    <cfRule type="cellIs" dxfId="33" priority="1" operator="equal">
      <formula>TRUE</formula>
    </cfRule>
    <cfRule type="cellIs" dxfId="32"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Q41 AQ41 AD41"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C81E-1900-4995-B1D9-D6187FB3309C}">
  <sheetPr codeName="Sheet21">
    <pageSetUpPr autoPageBreaks="0"/>
  </sheetPr>
  <dimension ref="A1:AV103"/>
  <sheetViews>
    <sheetView showGridLines="0" zoomScale="70" zoomScaleNormal="70" workbookViewId="0"/>
  </sheetViews>
  <sheetFormatPr defaultColWidth="8.7265625" defaultRowHeight="15" customHeight="1" outlineLevelCol="1" x14ac:dyDescent="0.35"/>
  <cols>
    <col min="1" max="3" width="13.54296875" style="5" customWidth="1"/>
    <col min="4" max="4" width="54.54296875" style="5" customWidth="1"/>
    <col min="5" max="5" width="26.1796875" style="5" bestFit="1" customWidth="1"/>
    <col min="6" max="6" width="5.7265625" style="5" customWidth="1"/>
    <col min="7" max="7" width="18.453125" style="5" bestFit="1" customWidth="1"/>
    <col min="8" max="8" width="13.54296875" style="26" bestFit="1" customWidth="1"/>
    <col min="9" max="10" width="0.81640625" style="26" customWidth="1"/>
    <col min="11" max="15" width="13.54296875" style="26" customWidth="1"/>
    <col min="16" max="16" width="0.81640625" style="26" customWidth="1"/>
    <col min="17" max="17" width="0.81640625" style="5" customWidth="1"/>
    <col min="18" max="20" width="13.54296875" style="5" customWidth="1"/>
    <col min="21" max="23" width="13.54296875" style="26" customWidth="1"/>
    <col min="24" max="25" width="13.54296875" style="5" customWidth="1"/>
    <col min="26" max="26" width="63.1796875" style="36" hidden="1" customWidth="1" outlineLevel="1"/>
    <col min="27" max="27" width="22.1796875" style="36" hidden="1" customWidth="1" outlineLevel="1"/>
    <col min="28" max="28" width="22.453125" style="36" hidden="1" customWidth="1" outlineLevel="1"/>
    <col min="29" max="29" width="8.7265625" style="5" collapsed="1"/>
    <col min="30" max="16384" width="8.7265625" style="5"/>
  </cols>
  <sheetData>
    <row r="1" spans="1:48" ht="15" customHeight="1" x14ac:dyDescent="0.35">
      <c r="A1" s="81" t="s">
        <v>275</v>
      </c>
      <c r="B1" s="414"/>
      <c r="H1" s="26">
        <f>65</f>
        <v>65</v>
      </c>
      <c r="K1" s="5">
        <f>MAX($H$1:H1)+1</f>
        <v>66</v>
      </c>
      <c r="L1" s="26">
        <f>MAX($H$1:K1)+1</f>
        <v>67</v>
      </c>
      <c r="M1" s="26">
        <f>MAX($H$1:L1)+1</f>
        <v>68</v>
      </c>
      <c r="N1" s="5">
        <f>MAX($H$1:M1)+1</f>
        <v>69</v>
      </c>
      <c r="O1" s="5">
        <f>MAX($H$1:N1)+1</f>
        <v>70</v>
      </c>
      <c r="P1" s="5"/>
      <c r="R1" s="5">
        <f>MAX($H$1:Q1)+1</f>
        <v>71</v>
      </c>
      <c r="S1" s="5">
        <f>MAX($H$1:R1)+1</f>
        <v>72</v>
      </c>
      <c r="T1" s="5">
        <f>MAX($H$1:S1)+1</f>
        <v>73</v>
      </c>
      <c r="U1" s="5">
        <f>MAX($H$1:T1)+1</f>
        <v>74</v>
      </c>
      <c r="V1" s="5">
        <f>MAX($H$1:U1)+1</f>
        <v>75</v>
      </c>
      <c r="W1" s="5"/>
      <c r="Y1" s="132"/>
      <c r="Z1" s="41" t="s">
        <v>663</v>
      </c>
      <c r="AC1" s="26"/>
      <c r="AD1" s="26"/>
      <c r="AE1" s="26"/>
      <c r="AF1" s="26"/>
      <c r="AG1" s="26"/>
      <c r="AH1" s="26"/>
      <c r="AI1" s="26"/>
      <c r="AJ1" s="26"/>
      <c r="AK1" s="26"/>
      <c r="AL1" s="26"/>
      <c r="AM1" s="26"/>
      <c r="AN1" s="26"/>
      <c r="AO1" s="26"/>
      <c r="AP1" s="26"/>
      <c r="AQ1" s="26"/>
      <c r="AR1" s="26"/>
      <c r="AS1" s="26"/>
      <c r="AT1" s="26"/>
      <c r="AU1" s="26"/>
      <c r="AV1" s="26"/>
    </row>
    <row r="2" spans="1:48" ht="15" customHeight="1" x14ac:dyDescent="0.35">
      <c r="Z2" s="214" t="s">
        <v>585</v>
      </c>
      <c r="AC2" s="26"/>
      <c r="AD2" s="26"/>
      <c r="AE2" s="26"/>
      <c r="AF2" s="26"/>
      <c r="AG2" s="26"/>
      <c r="AH2" s="26"/>
      <c r="AI2" s="26"/>
      <c r="AJ2" s="26"/>
      <c r="AK2" s="26"/>
      <c r="AL2" s="26"/>
      <c r="AM2" s="26"/>
      <c r="AN2" s="26"/>
      <c r="AO2" s="26"/>
      <c r="AP2" s="26"/>
      <c r="AQ2" s="26"/>
      <c r="AR2" s="26"/>
      <c r="AS2" s="26"/>
      <c r="AT2" s="26"/>
      <c r="AU2" s="26"/>
      <c r="AV2" s="26"/>
    </row>
    <row r="3" spans="1:48" ht="15" customHeight="1" x14ac:dyDescent="0.35">
      <c r="D3" s="88" t="str">
        <f>LEFT($D4, FIND(":",$D4)-1)</f>
        <v>Table B6</v>
      </c>
      <c r="Z3" s="219" t="s">
        <v>515</v>
      </c>
      <c r="AC3" s="26"/>
      <c r="AD3" s="26"/>
      <c r="AE3" s="26"/>
      <c r="AF3" s="26"/>
      <c r="AG3" s="26"/>
      <c r="AH3" s="26"/>
      <c r="AI3" s="26"/>
      <c r="AJ3" s="26"/>
      <c r="AK3" s="26"/>
      <c r="AL3" s="26"/>
      <c r="AM3" s="26"/>
      <c r="AN3" s="26"/>
      <c r="AO3" s="26"/>
      <c r="AP3" s="26"/>
      <c r="AQ3" s="26"/>
      <c r="AR3" s="26"/>
      <c r="AS3" s="26"/>
      <c r="AT3" s="26"/>
      <c r="AU3" s="26"/>
      <c r="AV3" s="26"/>
    </row>
    <row r="4" spans="1:48" ht="15" customHeight="1" x14ac:dyDescent="0.35">
      <c r="D4" s="2" t="str">
        <f>ToC!$J$34</f>
        <v>Table B6: CT Capital Cost Escalation</v>
      </c>
      <c r="AC4" s="26"/>
      <c r="AD4" s="26"/>
      <c r="AE4" s="26"/>
      <c r="AF4" s="26"/>
      <c r="AG4" s="26"/>
      <c r="AH4" s="26"/>
      <c r="AI4" s="26"/>
      <c r="AJ4" s="26"/>
      <c r="AK4" s="26"/>
      <c r="AL4" s="26"/>
      <c r="AM4" s="26"/>
      <c r="AN4" s="26"/>
      <c r="AO4" s="26"/>
      <c r="AP4" s="26"/>
      <c r="AQ4" s="26"/>
      <c r="AR4" s="26"/>
      <c r="AS4" s="26"/>
      <c r="AT4" s="26"/>
      <c r="AU4" s="26"/>
      <c r="AV4" s="26"/>
    </row>
    <row r="5" spans="1:48" ht="6" customHeight="1" thickBot="1" x14ac:dyDescent="0.4">
      <c r="D5" s="20"/>
      <c r="E5" s="20"/>
      <c r="F5" s="20"/>
      <c r="G5" s="20"/>
      <c r="H5" s="44"/>
      <c r="I5" s="44"/>
      <c r="J5" s="44"/>
      <c r="K5" s="44"/>
      <c r="L5" s="44"/>
      <c r="M5" s="44"/>
      <c r="N5" s="44"/>
      <c r="O5" s="44"/>
      <c r="P5" s="44"/>
      <c r="Q5" s="20"/>
      <c r="R5" s="20"/>
      <c r="S5" s="20"/>
      <c r="T5" s="20"/>
      <c r="U5" s="44"/>
      <c r="V5" s="44"/>
      <c r="W5" s="132"/>
      <c r="AC5" s="26"/>
      <c r="AD5" s="26"/>
      <c r="AE5" s="26"/>
      <c r="AF5" s="26"/>
      <c r="AG5" s="26"/>
      <c r="AH5" s="26"/>
      <c r="AI5" s="26"/>
      <c r="AJ5" s="26"/>
      <c r="AK5" s="26"/>
      <c r="AL5" s="26"/>
      <c r="AM5" s="26"/>
      <c r="AN5" s="26"/>
      <c r="AO5" s="26"/>
      <c r="AP5" s="26"/>
      <c r="AQ5" s="26"/>
      <c r="AR5" s="26"/>
      <c r="AS5" s="26"/>
      <c r="AT5" s="26"/>
      <c r="AU5" s="26"/>
      <c r="AV5" s="26"/>
    </row>
    <row r="6" spans="1:48" ht="6" customHeight="1" thickTop="1" x14ac:dyDescent="0.35">
      <c r="AC6" s="26"/>
      <c r="AD6" s="26"/>
      <c r="AE6" s="26"/>
      <c r="AF6" s="26"/>
      <c r="AG6" s="26"/>
      <c r="AH6" s="26"/>
      <c r="AI6" s="26"/>
      <c r="AJ6" s="26"/>
      <c r="AK6" s="26"/>
      <c r="AL6" s="26"/>
      <c r="AM6" s="26"/>
      <c r="AN6" s="26"/>
      <c r="AO6" s="26"/>
      <c r="AP6" s="26"/>
      <c r="AQ6" s="26"/>
      <c r="AR6" s="26"/>
      <c r="AS6" s="26"/>
      <c r="AT6" s="26"/>
      <c r="AU6" s="26"/>
      <c r="AV6" s="26"/>
    </row>
    <row r="7" spans="1:48" s="152" customFormat="1" ht="15" customHeight="1" x14ac:dyDescent="0.35">
      <c r="A7" s="313">
        <v>1</v>
      </c>
      <c r="D7" s="361" t="str">
        <f>Control!$D$10</f>
        <v>Technology</v>
      </c>
      <c r="F7" s="213" t="str">
        <f>"["&amp;A7&amp;"]"</f>
        <v>[1]</v>
      </c>
      <c r="G7" s="313" t="str">
        <f>Control!$D$3</f>
        <v>Control Table</v>
      </c>
      <c r="H7" s="166" t="str">
        <f>Control!$I$10</f>
        <v>CT</v>
      </c>
      <c r="I7" s="166"/>
      <c r="J7" s="166"/>
      <c r="K7" s="166"/>
      <c r="L7" s="166"/>
      <c r="M7" s="166"/>
      <c r="N7" s="166"/>
      <c r="O7" s="204"/>
      <c r="P7" s="257"/>
      <c r="Q7" s="204"/>
      <c r="R7" s="257"/>
      <c r="S7" s="257"/>
      <c r="T7" s="257"/>
      <c r="U7" s="204"/>
      <c r="V7" s="204"/>
      <c r="W7" s="204"/>
      <c r="X7" s="204"/>
      <c r="Z7" s="217" t="s">
        <v>174</v>
      </c>
      <c r="AA7" s="214"/>
      <c r="AB7" s="214"/>
      <c r="AC7" s="313"/>
      <c r="AD7" s="313"/>
      <c r="AE7" s="313"/>
      <c r="AF7" s="313"/>
      <c r="AG7" s="313"/>
      <c r="AH7" s="313"/>
      <c r="AI7" s="313"/>
      <c r="AJ7" s="313"/>
      <c r="AK7" s="313"/>
      <c r="AL7" s="313"/>
      <c r="AM7" s="313"/>
      <c r="AN7" s="313"/>
      <c r="AO7" s="313"/>
      <c r="AP7" s="313"/>
      <c r="AQ7" s="313"/>
      <c r="AR7" s="313"/>
      <c r="AS7" s="313"/>
      <c r="AT7" s="313"/>
      <c r="AU7" s="313"/>
      <c r="AV7" s="313"/>
    </row>
    <row r="8" spans="1:48" s="152" customFormat="1" ht="6" customHeight="1" x14ac:dyDescent="0.35">
      <c r="A8" s="313"/>
      <c r="D8" s="361"/>
      <c r="F8" s="213"/>
      <c r="G8" s="313"/>
      <c r="H8" s="166"/>
      <c r="I8" s="166"/>
      <c r="J8" s="166"/>
      <c r="K8" s="166"/>
      <c r="L8" s="166"/>
      <c r="M8" s="166"/>
      <c r="N8" s="166"/>
      <c r="O8" s="204"/>
      <c r="P8" s="257"/>
      <c r="Q8" s="204"/>
      <c r="R8" s="257"/>
      <c r="S8" s="257"/>
      <c r="T8" s="257"/>
      <c r="U8" s="204"/>
      <c r="V8" s="204"/>
      <c r="W8" s="204"/>
      <c r="X8" s="204"/>
      <c r="Z8" s="214"/>
      <c r="AA8" s="214"/>
      <c r="AB8" s="214"/>
      <c r="AC8" s="313"/>
      <c r="AD8" s="313"/>
      <c r="AE8" s="313"/>
      <c r="AF8" s="313"/>
      <c r="AG8" s="313"/>
      <c r="AH8" s="313"/>
      <c r="AI8" s="313"/>
      <c r="AJ8" s="313"/>
      <c r="AK8" s="313"/>
      <c r="AL8" s="313"/>
      <c r="AM8" s="313"/>
      <c r="AN8" s="313"/>
      <c r="AO8" s="313"/>
      <c r="AP8" s="313"/>
      <c r="AQ8" s="313"/>
      <c r="AR8" s="313"/>
      <c r="AS8" s="313"/>
      <c r="AT8" s="313"/>
      <c r="AU8" s="313"/>
      <c r="AV8" s="313"/>
    </row>
    <row r="9" spans="1:48" s="152" customFormat="1" ht="15" customHeight="1" x14ac:dyDescent="0.35">
      <c r="D9" s="162" t="s">
        <v>213</v>
      </c>
      <c r="F9" s="213"/>
      <c r="G9" s="313"/>
      <c r="H9" s="167"/>
      <c r="I9" s="167"/>
      <c r="J9" s="167"/>
      <c r="K9" s="167"/>
      <c r="L9" s="167"/>
      <c r="M9" s="167"/>
      <c r="N9" s="167"/>
      <c r="O9" s="288"/>
      <c r="P9" s="288"/>
      <c r="Q9" s="204"/>
      <c r="R9" s="204"/>
      <c r="S9" s="204"/>
      <c r="T9" s="204"/>
      <c r="U9" s="246"/>
      <c r="V9" s="246"/>
      <c r="W9" s="246"/>
      <c r="X9" s="204"/>
      <c r="Z9" s="214"/>
      <c r="AA9" s="214"/>
      <c r="AB9" s="214"/>
      <c r="AC9" s="313"/>
      <c r="AD9" s="313"/>
      <c r="AE9" s="313"/>
      <c r="AF9" s="313"/>
      <c r="AG9" s="313"/>
      <c r="AH9" s="313"/>
      <c r="AI9" s="313"/>
      <c r="AJ9" s="313"/>
      <c r="AK9" s="313"/>
      <c r="AL9" s="313"/>
      <c r="AM9" s="313"/>
      <c r="AN9" s="313"/>
      <c r="AO9" s="313"/>
      <c r="AP9" s="313"/>
      <c r="AQ9" s="313"/>
      <c r="AR9" s="313"/>
      <c r="AS9" s="313"/>
      <c r="AT9" s="313"/>
      <c r="AU9" s="313"/>
      <c r="AV9" s="313"/>
    </row>
    <row r="10" spans="1:48" s="152" customFormat="1" ht="15" customHeight="1" x14ac:dyDescent="0.35">
      <c r="A10" s="313">
        <f>MAX($A$7:A9)+1</f>
        <v>2</v>
      </c>
      <c r="D10" s="216" t="s">
        <v>77</v>
      </c>
      <c r="E10" s="313" t="s">
        <v>593</v>
      </c>
      <c r="F10" s="213" t="str">
        <f t="shared" ref="F10:F16" si="0">"["&amp;A10&amp;"]"</f>
        <v>[2]</v>
      </c>
      <c r="G10" s="313" t="str">
        <f>'S&amp;L CC+CT - Cost Assumptions'!$D$3</f>
        <v>Table C7</v>
      </c>
      <c r="H10" s="154">
        <f>INDEX('S&amp;L CC+CT - Cost Assumptions'!$F$17:$J$64,MATCH($Z10,'S&amp;L CC+CT - Cost Assumptions'!$D$17:$D$59,0),MATCH(Control!$H$11,'S&amp;L CC+CT - Cost Assumptions'!$F$7:$J$7,0))</f>
        <v>0.1</v>
      </c>
      <c r="I10" s="154"/>
      <c r="J10" s="154"/>
      <c r="K10" s="154"/>
      <c r="L10" s="154"/>
      <c r="M10" s="154"/>
      <c r="N10" s="154"/>
      <c r="O10" s="154"/>
      <c r="P10" s="154"/>
      <c r="U10" s="313"/>
      <c r="V10" s="313"/>
      <c r="W10" s="313"/>
      <c r="Z10" s="219" t="str">
        <f>'S&amp;L CC+CT - Cost Assumptions'!$D34</f>
        <v>EPC Contractor Fee</v>
      </c>
      <c r="AA10" s="214"/>
      <c r="AB10" s="214"/>
    </row>
    <row r="11" spans="1:48" s="152" customFormat="1" ht="15" customHeight="1" x14ac:dyDescent="0.35">
      <c r="A11" s="313">
        <f>MAX($A$7:A10)+1</f>
        <v>3</v>
      </c>
      <c r="D11" s="216" t="s">
        <v>79</v>
      </c>
      <c r="E11" s="313" t="s">
        <v>593</v>
      </c>
      <c r="F11" s="213" t="str">
        <f t="shared" si="0"/>
        <v>[3]</v>
      </c>
      <c r="G11" s="313" t="str">
        <f>'S&amp;L CC+CT - Cost Assumptions'!$D$3</f>
        <v>Table C7</v>
      </c>
      <c r="H11" s="154">
        <f>INDEX('S&amp;L CC+CT - Cost Assumptions'!$F$17:$J$64,MATCH($Z11,'S&amp;L CC+CT - Cost Assumptions'!$D$17:$D$59,0),MATCH(Control!$H$11,'S&amp;L CC+CT - Cost Assumptions'!$F$7:$J$7,0))</f>
        <v>0.1</v>
      </c>
      <c r="I11" s="154"/>
      <c r="J11" s="154"/>
      <c r="K11" s="154"/>
      <c r="L11" s="154"/>
      <c r="M11" s="154"/>
      <c r="N11" s="154"/>
      <c r="O11" s="154"/>
      <c r="P11" s="154"/>
      <c r="U11" s="313"/>
      <c r="V11" s="313"/>
      <c r="W11" s="313"/>
      <c r="Z11" s="219" t="str">
        <f>'S&amp;L CC+CT - Cost Assumptions'!$D35</f>
        <v>EPC Contingency</v>
      </c>
      <c r="AA11" s="214"/>
      <c r="AB11" s="214"/>
    </row>
    <row r="12" spans="1:48" s="152" customFormat="1" ht="15" customHeight="1" x14ac:dyDescent="0.35">
      <c r="A12" s="313">
        <f>MAX($A$7:A11)+1</f>
        <v>4</v>
      </c>
      <c r="D12" s="216" t="s">
        <v>80</v>
      </c>
      <c r="E12" s="313" t="s">
        <v>474</v>
      </c>
      <c r="F12" s="213" t="str">
        <f t="shared" si="0"/>
        <v>[4]</v>
      </c>
      <c r="G12" s="313" t="str">
        <f>'S&amp;L CC+CT - Cost Assumptions'!$D$3</f>
        <v>Table C7</v>
      </c>
      <c r="H12" s="154">
        <f>INDEX('S&amp;L CC+CT - Cost Assumptions'!$F$17:$J$64,MATCH($Z12,'S&amp;L CC+CT - Cost Assumptions'!$D$17:$D$59,0),MATCH(Control!$H$11,'S&amp;L CC+CT - Cost Assumptions'!$F$7:$J$7,0))</f>
        <v>0.05</v>
      </c>
      <c r="I12" s="154"/>
      <c r="J12" s="154"/>
      <c r="K12" s="154"/>
      <c r="L12" s="154"/>
      <c r="M12" s="154"/>
      <c r="N12" s="154"/>
      <c r="O12" s="154"/>
      <c r="P12" s="154"/>
      <c r="U12" s="313"/>
      <c r="V12" s="313"/>
      <c r="W12" s="313"/>
      <c r="Z12" s="219" t="str">
        <f>'S&amp;L CC+CT - Cost Assumptions'!$D36</f>
        <v>Project Development Cost</v>
      </c>
      <c r="AA12" s="214"/>
      <c r="AB12" s="214"/>
    </row>
    <row r="13" spans="1:48" s="152" customFormat="1" ht="15" customHeight="1" x14ac:dyDescent="0.35">
      <c r="A13" s="313">
        <f>MAX($A$7:A12)+1</f>
        <v>5</v>
      </c>
      <c r="D13" s="189" t="s">
        <v>148</v>
      </c>
      <c r="E13" s="313" t="s">
        <v>474</v>
      </c>
      <c r="F13" s="213" t="str">
        <f t="shared" si="0"/>
        <v>[5]</v>
      </c>
      <c r="G13" s="313" t="str">
        <f>'S&amp;L CC+CT - Cost Assumptions'!$D$3</f>
        <v>Table C7</v>
      </c>
      <c r="H13" s="154">
        <f>INDEX('S&amp;L CC+CT - Cost Assumptions'!$F$17:$J$64,MATCH($Z13,'S&amp;L CC+CT - Cost Assumptions'!$D$17:$D$59,0),MATCH(Control!$H$11,'S&amp;L CC+CT - Cost Assumptions'!$F$7:$J$7,0))</f>
        <v>0.01</v>
      </c>
      <c r="I13" s="154"/>
      <c r="J13" s="154"/>
      <c r="K13" s="154"/>
      <c r="L13" s="154"/>
      <c r="M13" s="154"/>
      <c r="N13" s="154"/>
      <c r="O13" s="154"/>
      <c r="P13" s="154"/>
      <c r="U13" s="313"/>
      <c r="V13" s="313"/>
      <c r="W13" s="313"/>
      <c r="Z13" s="219" t="str">
        <f>'S&amp;L CC+CT - Cost Assumptions'!$D37</f>
        <v>Mobilization and Start-Up Cost</v>
      </c>
      <c r="AA13" s="214"/>
      <c r="AB13" s="214"/>
    </row>
    <row r="14" spans="1:48" s="152" customFormat="1" ht="15" customHeight="1" x14ac:dyDescent="0.35">
      <c r="A14" s="313">
        <f>MAX($A$7:A13)+1</f>
        <v>6</v>
      </c>
      <c r="D14" s="216" t="s">
        <v>83</v>
      </c>
      <c r="E14" s="313" t="s">
        <v>474</v>
      </c>
      <c r="F14" s="213" t="str">
        <f t="shared" si="0"/>
        <v>[6]</v>
      </c>
      <c r="G14" s="313" t="str">
        <f>'S&amp;L CC+CT - Cost Assumptions'!$D$3</f>
        <v>Table C7</v>
      </c>
      <c r="H14" s="154">
        <f>INDEX('S&amp;L CC+CT - Cost Assumptions'!$F$17:$J$64,MATCH($Z14,'S&amp;L CC+CT - Cost Assumptions'!$D$17:$D$59,0),MATCH(Control!$H$11,'S&amp;L CC+CT - Cost Assumptions'!$F$7:$J$7,0))</f>
        <v>5.0000000000000001E-3</v>
      </c>
      <c r="I14" s="154"/>
      <c r="J14" s="154"/>
      <c r="K14" s="154"/>
      <c r="L14" s="154"/>
      <c r="M14" s="154"/>
      <c r="N14" s="154"/>
      <c r="O14" s="154"/>
      <c r="P14" s="154"/>
      <c r="U14" s="313"/>
      <c r="V14" s="313"/>
      <c r="W14" s="313"/>
      <c r="Z14" s="219" t="str">
        <f>'S&amp;L CC+CT - Cost Assumptions'!$D38</f>
        <v>Non-Fuel Inventories</v>
      </c>
      <c r="AA14" s="214"/>
      <c r="AB14" s="214"/>
    </row>
    <row r="15" spans="1:48" s="152" customFormat="1" ht="15" customHeight="1" x14ac:dyDescent="0.35">
      <c r="A15" s="313">
        <f>MAX($A$7:A14)+1</f>
        <v>7</v>
      </c>
      <c r="D15" s="216" t="s">
        <v>84</v>
      </c>
      <c r="E15" s="313" t="s">
        <v>594</v>
      </c>
      <c r="F15" s="213" t="str">
        <f t="shared" si="0"/>
        <v>[7]</v>
      </c>
      <c r="G15" s="313" t="str">
        <f>'S&amp;L CC+CT - Cost Assumptions'!$D$3</f>
        <v>Table C7</v>
      </c>
      <c r="H15" s="154">
        <f>INDEX('S&amp;L CC+CT - Cost Assumptions'!$F$17:$J$64,MATCH($Z15,'S&amp;L CC+CT - Cost Assumptions'!$D$17:$D$59,0),MATCH(Control!$H$11,'S&amp;L CC+CT - Cost Assumptions'!$F$7:$J$7,0))</f>
        <v>0.08</v>
      </c>
      <c r="I15" s="154"/>
      <c r="J15" s="154"/>
      <c r="K15" s="154"/>
      <c r="L15" s="154"/>
      <c r="M15" s="154"/>
      <c r="N15" s="154"/>
      <c r="O15" s="154"/>
      <c r="P15" s="154"/>
      <c r="U15" s="313"/>
      <c r="V15" s="313"/>
      <c r="W15" s="313"/>
      <c r="Z15" s="219" t="str">
        <f>'S&amp;L CC+CT - Cost Assumptions'!$D39</f>
        <v>Owner Contingency</v>
      </c>
      <c r="AA15" s="214"/>
      <c r="AB15" s="214"/>
    </row>
    <row r="16" spans="1:48" s="152" customFormat="1" ht="15" customHeight="1" x14ac:dyDescent="0.35">
      <c r="A16" s="313">
        <f>MAX($A$7:A15)+1</f>
        <v>8</v>
      </c>
      <c r="D16" s="216" t="s">
        <v>85</v>
      </c>
      <c r="E16" s="313" t="s">
        <v>664</v>
      </c>
      <c r="F16" s="213" t="str">
        <f t="shared" si="0"/>
        <v>[8]</v>
      </c>
      <c r="G16" s="313" t="str">
        <f>'S&amp;L CC+CT - Cost Assumptions'!$D$3</f>
        <v>Table C7</v>
      </c>
      <c r="H16" s="154">
        <f>INDEX('S&amp;L CC+CT - Cost Assumptions'!$F$17:$J$64,MATCH($Z16,'S&amp;L CC+CT - Cost Assumptions'!$D$17:$D$59,0),MATCH(Control!$H$11,'S&amp;L CC+CT - Cost Assumptions'!$F$7:$J$7,0))</f>
        <v>0.04</v>
      </c>
      <c r="I16" s="154"/>
      <c r="J16" s="154"/>
      <c r="K16" s="154"/>
      <c r="L16" s="154"/>
      <c r="M16" s="154"/>
      <c r="N16" s="154"/>
      <c r="O16" s="154"/>
      <c r="P16" s="154"/>
      <c r="U16" s="313"/>
      <c r="V16" s="313"/>
      <c r="W16" s="313"/>
      <c r="Z16" s="219" t="str">
        <f>'S&amp;L CC+CT - Cost Assumptions'!$D40</f>
        <v>Financing Fees</v>
      </c>
      <c r="AA16" s="214"/>
      <c r="AB16" s="214"/>
    </row>
    <row r="17" spans="1:32" s="152" customFormat="1" ht="6" customHeight="1" x14ac:dyDescent="0.35">
      <c r="D17" s="216"/>
      <c r="E17" s="313"/>
      <c r="F17" s="213"/>
      <c r="G17" s="313"/>
      <c r="H17" s="168"/>
      <c r="I17" s="168"/>
      <c r="J17" s="168"/>
      <c r="K17" s="168"/>
      <c r="L17" s="168"/>
      <c r="M17" s="168"/>
      <c r="N17" s="168"/>
      <c r="O17" s="168"/>
      <c r="P17" s="168"/>
      <c r="U17" s="313"/>
      <c r="V17" s="313"/>
      <c r="W17" s="313"/>
      <c r="Z17" s="214"/>
      <c r="AA17" s="214"/>
      <c r="AB17" s="214"/>
    </row>
    <row r="18" spans="1:32" s="152" customFormat="1" ht="15" customHeight="1" x14ac:dyDescent="0.35">
      <c r="A18" s="313"/>
      <c r="B18" s="161"/>
      <c r="C18" s="161"/>
      <c r="D18" s="1049" t="s">
        <v>214</v>
      </c>
      <c r="E18" s="162"/>
      <c r="F18" s="243"/>
      <c r="G18" s="2129"/>
      <c r="H18" s="170"/>
      <c r="I18" s="170"/>
      <c r="J18" s="170"/>
      <c r="K18" s="170"/>
      <c r="L18" s="170"/>
      <c r="M18" s="170"/>
      <c r="N18" s="170"/>
      <c r="O18" s="170"/>
      <c r="P18" s="170"/>
      <c r="U18" s="313"/>
      <c r="V18" s="313"/>
      <c r="W18" s="313"/>
      <c r="Z18" s="214"/>
      <c r="AA18" s="214"/>
      <c r="AB18" s="214"/>
    </row>
    <row r="19" spans="1:32" s="152" customFormat="1" ht="15" customHeight="1" x14ac:dyDescent="0.35">
      <c r="A19" s="313">
        <f>MAX($A$9:A18)+1</f>
        <v>9</v>
      </c>
      <c r="D19" s="216" t="s">
        <v>570</v>
      </c>
      <c r="E19" s="313" t="str">
        <f>"%"</f>
        <v>%</v>
      </c>
      <c r="F19" s="213" t="str">
        <f>"["&amp;A19&amp;"]"</f>
        <v>[9]</v>
      </c>
      <c r="G19" s="313" t="str">
        <f>'Cumulative Inflation'!$D$3</f>
        <v>Table B9</v>
      </c>
      <c r="H19" s="154">
        <f>_xlfn.XLOOKUP($H$7,'Cumulative Inflation'!$H$7:$J$7,'Cumulative Inflation'!$H18:$J18)-1</f>
        <v>4.5026494815916251E-3</v>
      </c>
      <c r="I19" s="154"/>
      <c r="J19" s="154"/>
      <c r="K19" s="154"/>
      <c r="L19" s="154"/>
      <c r="M19" s="154"/>
      <c r="N19" s="154"/>
      <c r="O19" s="154"/>
      <c r="P19" s="154"/>
      <c r="U19" s="313"/>
      <c r="V19" s="313"/>
      <c r="W19" s="313"/>
      <c r="Z19" s="214"/>
      <c r="AA19" s="214"/>
      <c r="AB19" s="214"/>
    </row>
    <row r="20" spans="1:32" s="152" customFormat="1" ht="15" customHeight="1" x14ac:dyDescent="0.35">
      <c r="A20" s="313">
        <f>MAX($A$9:A19)+1</f>
        <v>10</v>
      </c>
      <c r="D20" s="216" t="s">
        <v>571</v>
      </c>
      <c r="E20" s="313" t="str">
        <f>"%"</f>
        <v>%</v>
      </c>
      <c r="F20" s="213" t="str">
        <f>"["&amp;A20&amp;"]"</f>
        <v>[10]</v>
      </c>
      <c r="G20" s="313" t="str">
        <f>'Cumulative Inflation'!$D$3</f>
        <v>Table B9</v>
      </c>
      <c r="H20" s="154">
        <f>_xlfn.XLOOKUP($H$7,'Cumulative Inflation'!$H$7:$J$7,'Cumulative Inflation'!$H19:$J19)-1</f>
        <v>2.732183657242615E-2</v>
      </c>
      <c r="I20" s="154"/>
      <c r="J20" s="154"/>
      <c r="K20" s="154"/>
      <c r="L20" s="154"/>
      <c r="M20" s="154"/>
      <c r="N20" s="154"/>
      <c r="O20" s="154"/>
      <c r="P20" s="154"/>
      <c r="U20" s="313"/>
      <c r="V20" s="313"/>
      <c r="W20" s="313"/>
      <c r="Z20" s="214"/>
      <c r="AA20" s="214"/>
      <c r="AB20" s="214"/>
    </row>
    <row r="21" spans="1:32" s="152" customFormat="1" ht="15" customHeight="1" x14ac:dyDescent="0.35">
      <c r="A21" s="313">
        <f>MAX($A$9:A20)+1</f>
        <v>11</v>
      </c>
      <c r="D21" s="216" t="s">
        <v>572</v>
      </c>
      <c r="E21" s="313" t="str">
        <f>"%"</f>
        <v>%</v>
      </c>
      <c r="F21" s="213" t="str">
        <f>"["&amp;A21&amp;"]"</f>
        <v>[11]</v>
      </c>
      <c r="G21" s="313" t="str">
        <f>'Cumulative Inflation'!$D$3</f>
        <v>Table B9</v>
      </c>
      <c r="H21" s="154">
        <f>_xlfn.XLOOKUP($H$7,'Cumulative Inflation'!$H$7:$J$7,'Cumulative Inflation'!$H20:$J20)-1</f>
        <v>8.9329218702034474E-2</v>
      </c>
      <c r="I21" s="154"/>
      <c r="J21" s="154"/>
      <c r="K21" s="154"/>
      <c r="L21" s="154"/>
      <c r="M21" s="154"/>
      <c r="N21" s="154"/>
      <c r="O21" s="154"/>
      <c r="P21" s="154"/>
      <c r="U21" s="313"/>
      <c r="V21" s="313"/>
      <c r="W21" s="313"/>
      <c r="Z21" s="214"/>
      <c r="AA21" s="214"/>
      <c r="AB21" s="214"/>
    </row>
    <row r="22" spans="1:32" s="152" customFormat="1" ht="6" customHeight="1" x14ac:dyDescent="0.35">
      <c r="D22" s="159"/>
      <c r="E22" s="155"/>
      <c r="F22" s="155"/>
      <c r="G22" s="159"/>
      <c r="H22" s="159"/>
      <c r="I22" s="159"/>
      <c r="J22" s="159"/>
      <c r="K22" s="159"/>
      <c r="L22" s="159"/>
      <c r="M22" s="159"/>
      <c r="N22" s="159"/>
      <c r="O22" s="159"/>
      <c r="P22" s="159"/>
      <c r="Q22" s="155"/>
      <c r="R22" s="155"/>
      <c r="S22" s="159"/>
      <c r="T22" s="265"/>
      <c r="U22" s="263"/>
      <c r="V22" s="263"/>
      <c r="Z22" s="214"/>
      <c r="AA22" s="214"/>
      <c r="AB22" s="214"/>
      <c r="AD22" s="313"/>
      <c r="AE22" s="313"/>
      <c r="AF22" s="313"/>
    </row>
    <row r="23" spans="1:32" s="152" customFormat="1" ht="6" customHeight="1" x14ac:dyDescent="0.35">
      <c r="D23" s="313"/>
      <c r="G23" s="313"/>
      <c r="H23" s="313"/>
      <c r="I23" s="313"/>
      <c r="J23" s="313"/>
      <c r="K23" s="313"/>
      <c r="L23" s="313"/>
      <c r="M23" s="313"/>
      <c r="N23" s="313"/>
      <c r="O23" s="313"/>
      <c r="P23" s="313"/>
      <c r="S23" s="313"/>
      <c r="T23" s="270"/>
      <c r="U23" s="268"/>
      <c r="V23" s="268"/>
      <c r="Z23" s="214"/>
      <c r="AA23" s="214"/>
      <c r="AB23" s="214"/>
      <c r="AD23" s="313"/>
      <c r="AE23" s="313"/>
      <c r="AF23" s="313"/>
    </row>
    <row r="24" spans="1:32" s="152" customFormat="1" ht="30" customHeight="1" x14ac:dyDescent="0.35">
      <c r="D24" s="162"/>
      <c r="E24" s="161"/>
      <c r="F24" s="161"/>
      <c r="G24" s="2129"/>
      <c r="H24" s="1153" t="s">
        <v>537</v>
      </c>
      <c r="I24" s="233"/>
      <c r="J24" s="233"/>
      <c r="K24" s="1662" t="s">
        <v>149</v>
      </c>
      <c r="L24" s="1054"/>
      <c r="M24" s="1054"/>
      <c r="N24" s="1054"/>
      <c r="O24" s="1054"/>
      <c r="P24" s="301"/>
      <c r="Q24" s="302"/>
      <c r="R24" s="1662" t="s">
        <v>152</v>
      </c>
      <c r="S24" s="1054"/>
      <c r="T24" s="1054"/>
      <c r="U24" s="1054"/>
      <c r="V24" s="1054"/>
      <c r="W24" s="232"/>
      <c r="Z24" s="214"/>
      <c r="AA24" s="214"/>
      <c r="AB24" s="214"/>
      <c r="AD24" s="313"/>
      <c r="AE24" s="313"/>
      <c r="AF24" s="313"/>
    </row>
    <row r="25" spans="1:32" s="152" customFormat="1" ht="6" customHeight="1" x14ac:dyDescent="0.35">
      <c r="D25" s="162"/>
      <c r="E25" s="161"/>
      <c r="F25" s="161"/>
      <c r="G25" s="2129"/>
      <c r="H25" s="233"/>
      <c r="I25" s="233"/>
      <c r="J25" s="233"/>
      <c r="K25" s="360"/>
      <c r="L25" s="360"/>
      <c r="M25" s="360"/>
      <c r="N25" s="360"/>
      <c r="O25" s="360"/>
      <c r="P25" s="301"/>
      <c r="Q25" s="302"/>
      <c r="R25" s="232"/>
      <c r="S25" s="232"/>
      <c r="T25" s="232"/>
      <c r="U25" s="232"/>
      <c r="V25" s="232"/>
      <c r="W25" s="232"/>
      <c r="Z25" s="214"/>
      <c r="AA25" s="214"/>
      <c r="AB25" s="214"/>
      <c r="AD25" s="313"/>
      <c r="AE25" s="313"/>
      <c r="AF25" s="313"/>
    </row>
    <row r="26" spans="1:32" s="152" customFormat="1" ht="15" customHeight="1" x14ac:dyDescent="0.35">
      <c r="D26" s="162"/>
      <c r="E26" s="161"/>
      <c r="F26" s="161"/>
      <c r="G26" s="2129"/>
      <c r="H26" s="234" t="str">
        <f>"["&amp;CHAR(H1)&amp;"]"</f>
        <v>[A]</v>
      </c>
      <c r="I26" s="234"/>
      <c r="J26" s="234"/>
      <c r="K26" s="166" t="str">
        <f>"["&amp;CHAR(K1)&amp;"]"</f>
        <v>[B]</v>
      </c>
      <c r="L26" s="166" t="str">
        <f t="shared" ref="L26:O26" si="1">"["&amp;CHAR(L1)&amp;"]"</f>
        <v>[C]</v>
      </c>
      <c r="M26" s="166" t="str">
        <f t="shared" si="1"/>
        <v>[D]</v>
      </c>
      <c r="N26" s="166" t="str">
        <f t="shared" si="1"/>
        <v>[E]</v>
      </c>
      <c r="O26" s="166" t="str">
        <f t="shared" si="1"/>
        <v>[F]</v>
      </c>
      <c r="P26" s="257"/>
      <c r="Q26" s="354"/>
      <c r="R26" s="166" t="str">
        <f>"["&amp;CHAR(R1)&amp;"]"</f>
        <v>[G]</v>
      </c>
      <c r="S26" s="166" t="str">
        <f>"["&amp;CHAR(S1)&amp;"]"</f>
        <v>[H]</v>
      </c>
      <c r="T26" s="166" t="str">
        <f>"["&amp;CHAR(T1)&amp;"]"</f>
        <v>[I]</v>
      </c>
      <c r="U26" s="166" t="str">
        <f>"["&amp;CHAR(U1)&amp;"]"</f>
        <v>[J]</v>
      </c>
      <c r="V26" s="166" t="str">
        <f>"["&amp;CHAR(V1)&amp;"]"</f>
        <v>[K]</v>
      </c>
      <c r="W26" s="166"/>
      <c r="Z26" s="214"/>
      <c r="AA26" s="214"/>
      <c r="AB26" s="214"/>
    </row>
    <row r="27" spans="1:32" s="152" customFormat="1" ht="15" customHeight="1" x14ac:dyDescent="0.35">
      <c r="D27" s="162"/>
      <c r="E27" s="161"/>
      <c r="F27" s="161"/>
      <c r="G27" s="2129"/>
      <c r="H27" s="166" t="s">
        <v>10</v>
      </c>
      <c r="I27" s="166"/>
      <c r="J27" s="166"/>
      <c r="K27" s="166" t="str">
        <f>YEAR(Control!$H$18)&amp;"$"</f>
        <v>2025$</v>
      </c>
      <c r="L27" s="166" t="str">
        <f>YEAR(Control!$H$18)&amp;"$"</f>
        <v>2025$</v>
      </c>
      <c r="M27" s="166" t="str">
        <f>YEAR(Control!$H$18)&amp;"$"</f>
        <v>2025$</v>
      </c>
      <c r="N27" s="166" t="str">
        <f>YEAR(Control!$H$18)&amp;"$"</f>
        <v>2025$</v>
      </c>
      <c r="O27" s="166" t="str">
        <f>YEAR(Control!$H$18)&amp;"$"</f>
        <v>2025$</v>
      </c>
      <c r="P27" s="257"/>
      <c r="Q27" s="257"/>
      <c r="R27" s="274" t="s">
        <v>259</v>
      </c>
      <c r="S27" s="274" t="s">
        <v>259</v>
      </c>
      <c r="T27" s="274" t="s">
        <v>259</v>
      </c>
      <c r="U27" s="274" t="s">
        <v>259</v>
      </c>
      <c r="V27" s="274" t="s">
        <v>259</v>
      </c>
      <c r="W27" s="166"/>
      <c r="Z27" s="214"/>
      <c r="AA27" s="214"/>
      <c r="AB27" s="214"/>
    </row>
    <row r="28" spans="1:32" s="152" customFormat="1" ht="15" customHeight="1" x14ac:dyDescent="0.35">
      <c r="D28" s="162"/>
      <c r="E28" s="161"/>
      <c r="F28" s="161"/>
      <c r="G28" s="2129"/>
      <c r="H28" s="166" t="s">
        <v>39</v>
      </c>
      <c r="I28" s="166"/>
      <c r="J28" s="166"/>
      <c r="K28" s="166"/>
      <c r="L28" s="166"/>
      <c r="M28" s="166"/>
      <c r="N28" s="166"/>
      <c r="O28" s="166"/>
      <c r="P28" s="257"/>
      <c r="Q28" s="257"/>
      <c r="R28" s="166" t="s">
        <v>39</v>
      </c>
      <c r="S28" s="166" t="s">
        <v>39</v>
      </c>
      <c r="T28" s="166" t="s">
        <v>39</v>
      </c>
      <c r="U28" s="166" t="s">
        <v>39</v>
      </c>
      <c r="V28" s="166" t="s">
        <v>39</v>
      </c>
      <c r="W28" s="166"/>
      <c r="X28" s="1055"/>
      <c r="Y28" s="1055"/>
      <c r="Z28" s="214"/>
      <c r="AA28" s="214"/>
      <c r="AB28" s="214"/>
    </row>
    <row r="29" spans="1:32" s="152" customFormat="1" ht="6" customHeight="1" x14ac:dyDescent="0.35">
      <c r="D29" s="159"/>
      <c r="E29" s="155"/>
      <c r="F29" s="155"/>
      <c r="G29" s="159"/>
      <c r="H29" s="155"/>
      <c r="I29" s="204"/>
      <c r="J29" s="204"/>
      <c r="K29" s="159"/>
      <c r="L29" s="159"/>
      <c r="M29" s="159"/>
      <c r="N29" s="159"/>
      <c r="O29" s="159"/>
      <c r="P29" s="246"/>
      <c r="Q29" s="204"/>
      <c r="R29" s="155"/>
      <c r="S29" s="155"/>
      <c r="T29" s="155"/>
      <c r="U29" s="159"/>
      <c r="V29" s="159"/>
      <c r="W29" s="246"/>
      <c r="Z29" s="214"/>
      <c r="AA29" s="214"/>
      <c r="AB29" s="214"/>
    </row>
    <row r="30" spans="1:32" s="152" customFormat="1" ht="6" customHeight="1" x14ac:dyDescent="0.35">
      <c r="D30" s="246"/>
      <c r="E30" s="204"/>
      <c r="F30" s="204"/>
      <c r="G30" s="246"/>
      <c r="H30" s="204"/>
      <c r="I30" s="204"/>
      <c r="J30" s="204"/>
      <c r="K30" s="246"/>
      <c r="L30" s="246"/>
      <c r="M30" s="246"/>
      <c r="N30" s="246"/>
      <c r="O30" s="246"/>
      <c r="P30" s="246"/>
      <c r="Q30" s="204"/>
      <c r="R30" s="204"/>
      <c r="S30" s="204"/>
      <c r="T30" s="204"/>
      <c r="U30" s="246"/>
      <c r="V30" s="246"/>
      <c r="W30" s="246"/>
      <c r="Z30" s="214"/>
      <c r="AA30" s="214"/>
      <c r="AB30" s="214"/>
    </row>
    <row r="31" spans="1:32" s="152" customFormat="1" ht="15" customHeight="1" x14ac:dyDescent="0.35">
      <c r="A31" s="313"/>
      <c r="D31" s="2206" t="s">
        <v>298</v>
      </c>
      <c r="F31" s="213"/>
      <c r="G31" s="313"/>
      <c r="I31" s="204"/>
      <c r="J31" s="204"/>
      <c r="K31" s="220" t="s">
        <v>288</v>
      </c>
      <c r="L31" s="220" t="s">
        <v>289</v>
      </c>
      <c r="M31" s="220" t="s">
        <v>290</v>
      </c>
      <c r="N31" s="220" t="s">
        <v>291</v>
      </c>
      <c r="O31" s="220" t="s">
        <v>299</v>
      </c>
      <c r="P31" s="220"/>
      <c r="Q31" s="154"/>
      <c r="R31" s="220" t="s">
        <v>288</v>
      </c>
      <c r="S31" s="220" t="s">
        <v>289</v>
      </c>
      <c r="T31" s="220" t="s">
        <v>290</v>
      </c>
      <c r="U31" s="220" t="s">
        <v>291</v>
      </c>
      <c r="V31" s="220" t="s">
        <v>299</v>
      </c>
      <c r="Z31" s="241"/>
      <c r="AA31" s="241"/>
      <c r="AB31" s="241"/>
      <c r="AD31" s="313"/>
      <c r="AE31" s="313"/>
      <c r="AF31" s="144"/>
    </row>
    <row r="32" spans="1:32" s="152" customFormat="1" ht="15" customHeight="1" x14ac:dyDescent="0.35">
      <c r="A32" s="313"/>
      <c r="D32" s="2206"/>
      <c r="F32" s="213"/>
      <c r="G32" s="313"/>
      <c r="I32" s="204"/>
      <c r="J32" s="204"/>
      <c r="K32" s="248">
        <v>1</v>
      </c>
      <c r="L32" s="248">
        <v>2</v>
      </c>
      <c r="M32" s="248">
        <v>3</v>
      </c>
      <c r="N32" s="248">
        <v>4</v>
      </c>
      <c r="O32" s="248">
        <v>5</v>
      </c>
      <c r="P32" s="248"/>
      <c r="Q32" s="154"/>
      <c r="R32" s="248">
        <v>1</v>
      </c>
      <c r="S32" s="248">
        <v>2</v>
      </c>
      <c r="T32" s="248">
        <v>3</v>
      </c>
      <c r="U32" s="248">
        <v>4</v>
      </c>
      <c r="V32" s="248">
        <v>5</v>
      </c>
      <c r="Z32" s="241"/>
      <c r="AA32" s="241"/>
      <c r="AB32" s="241"/>
      <c r="AD32" s="313"/>
      <c r="AE32" s="313"/>
      <c r="AF32" s="144"/>
    </row>
    <row r="33" spans="1:48" s="152" customFormat="1" ht="6" customHeight="1" x14ac:dyDescent="0.35">
      <c r="A33" s="313"/>
      <c r="D33" s="159"/>
      <c r="E33" s="155"/>
      <c r="F33" s="155"/>
      <c r="G33" s="159"/>
      <c r="H33" s="263"/>
      <c r="I33" s="260"/>
      <c r="J33" s="260"/>
      <c r="K33" s="155"/>
      <c r="L33" s="159"/>
      <c r="M33" s="159"/>
      <c r="N33" s="155"/>
      <c r="O33" s="155"/>
      <c r="P33" s="204"/>
      <c r="Q33" s="204"/>
      <c r="R33" s="155"/>
      <c r="S33" s="155"/>
      <c r="T33" s="155"/>
      <c r="U33" s="155"/>
      <c r="V33" s="155"/>
      <c r="Z33" s="241"/>
      <c r="AA33" s="241"/>
      <c r="AB33" s="241"/>
      <c r="AD33" s="313"/>
      <c r="AE33" s="313"/>
      <c r="AF33" s="144"/>
    </row>
    <row r="34" spans="1:48" s="152" customFormat="1" ht="6" customHeight="1" x14ac:dyDescent="0.35">
      <c r="D34" s="313"/>
      <c r="G34" s="313"/>
      <c r="H34" s="268"/>
      <c r="I34" s="260"/>
      <c r="J34" s="260"/>
      <c r="L34" s="313"/>
      <c r="M34" s="313"/>
      <c r="P34" s="204"/>
      <c r="Q34" s="204"/>
      <c r="Z34" s="241"/>
      <c r="AA34" s="241"/>
      <c r="AB34" s="241"/>
      <c r="AD34" s="313"/>
      <c r="AE34" s="313"/>
      <c r="AF34" s="144"/>
    </row>
    <row r="35" spans="1:48" s="161" customFormat="1" ht="15" customHeight="1" x14ac:dyDescent="0.35">
      <c r="D35" s="162" t="s">
        <v>208</v>
      </c>
      <c r="G35" s="2129"/>
      <c r="H35" s="162"/>
      <c r="I35" s="162"/>
      <c r="J35" s="162"/>
      <c r="L35" s="162"/>
      <c r="M35" s="162"/>
      <c r="N35" s="162"/>
      <c r="O35" s="283"/>
      <c r="P35" s="284"/>
      <c r="Q35" s="283"/>
      <c r="R35" s="283"/>
      <c r="S35" s="283"/>
      <c r="T35" s="283"/>
      <c r="U35" s="283"/>
      <c r="V35" s="283"/>
      <c r="W35" s="283"/>
      <c r="X35" s="283"/>
      <c r="Z35" s="217" t="s">
        <v>175</v>
      </c>
      <c r="AA35" s="217" t="s">
        <v>662</v>
      </c>
      <c r="AB35" s="217"/>
      <c r="AC35" s="162"/>
      <c r="AD35" s="162"/>
      <c r="AE35" s="162"/>
      <c r="AF35" s="162"/>
      <c r="AG35" s="162"/>
      <c r="AH35" s="162"/>
      <c r="AI35" s="162"/>
      <c r="AJ35" s="162"/>
      <c r="AK35" s="162"/>
      <c r="AL35" s="162"/>
      <c r="AM35" s="162"/>
      <c r="AN35" s="162"/>
      <c r="AO35" s="162"/>
      <c r="AP35" s="162"/>
      <c r="AQ35" s="162"/>
      <c r="AR35" s="162"/>
      <c r="AS35" s="162"/>
      <c r="AT35" s="162"/>
      <c r="AU35" s="162"/>
      <c r="AV35" s="162"/>
    </row>
    <row r="36" spans="1:48" s="152" customFormat="1" ht="15" customHeight="1" x14ac:dyDescent="0.35">
      <c r="A36" s="313">
        <f>MAX($A$9:A35)+1</f>
        <v>12</v>
      </c>
      <c r="D36" s="215" t="str">
        <f>Control!$D$42</f>
        <v>Net Summer Capacity</v>
      </c>
      <c r="E36" s="152" t="s">
        <v>4</v>
      </c>
      <c r="F36" s="213" t="str">
        <f>"["&amp;A36&amp;"]"</f>
        <v>[12]</v>
      </c>
      <c r="G36" s="313" t="str">
        <f>'S&amp;L CC+CT - Cost Assumptions'!$D$3</f>
        <v>Table C7</v>
      </c>
      <c r="I36" s="167"/>
      <c r="J36" s="167"/>
      <c r="K36" s="391">
        <f>INDEX('S&amp;L CC+CT - Cost Assumptions'!$F$13:$J$64,MATCH($Z36,'S&amp;L CC+CT - Cost Assumptions'!$D$13:$D$59,0),MATCH(K$31,'S&amp;L CC+CT - Cost Assumptions'!$F$7:$J$7,0))</f>
        <v>391.786</v>
      </c>
      <c r="L36" s="391">
        <f>INDEX('S&amp;L CC+CT - Cost Assumptions'!$F$13:$J$64,MATCH($Z36,'S&amp;L CC+CT - Cost Assumptions'!$D$13:$D$59,0),MATCH(L$31,'S&amp;L CC+CT - Cost Assumptions'!$F$7:$J$7,0))</f>
        <v>394.51</v>
      </c>
      <c r="M36" s="391">
        <f>INDEX('S&amp;L CC+CT - Cost Assumptions'!$F$13:$J$64,MATCH($Z36,'S&amp;L CC+CT - Cost Assumptions'!$D$13:$D$59,0),MATCH(M$31,'S&amp;L CC+CT - Cost Assumptions'!$F$7:$J$7,0))</f>
        <v>386.65899999999999</v>
      </c>
      <c r="N36" s="391">
        <f>INDEX('S&amp;L CC+CT - Cost Assumptions'!$F$13:$J$64,MATCH($Z36,'S&amp;L CC+CT - Cost Assumptions'!$D$13:$D$59,0),MATCH(N$31,'S&amp;L CC+CT - Cost Assumptions'!$F$7:$J$7,0))</f>
        <v>382.91800000000001</v>
      </c>
      <c r="O36" s="391">
        <f>INDEX('S&amp;L CC+CT - Cost Assumptions'!$F$13:$J$64,MATCH($Z36,'S&amp;L CC+CT - Cost Assumptions'!$D$13:$D$59,0),MATCH(O$31,'S&amp;L CC+CT - Cost Assumptions'!$F$7:$J$7,0))</f>
        <v>392.53399999999999</v>
      </c>
      <c r="P36" s="288"/>
      <c r="Q36" s="204"/>
      <c r="R36" s="391">
        <f>INDEX('S&amp;L CC+CT - Cost Assumptions'!$F$13:$J$64,MATCH($Z36,'S&amp;L CC+CT - Cost Assumptions'!$D$13:$D$59,0),MATCH(R$31,'S&amp;L CC+CT - Cost Assumptions'!$F$7:$J$7,0))</f>
        <v>391.786</v>
      </c>
      <c r="S36" s="391">
        <f>INDEX('S&amp;L CC+CT - Cost Assumptions'!$F$13:$J$64,MATCH($Z36,'S&amp;L CC+CT - Cost Assumptions'!$D$13:$D$59,0),MATCH(S$31,'S&amp;L CC+CT - Cost Assumptions'!$F$7:$J$7,0))</f>
        <v>394.51</v>
      </c>
      <c r="T36" s="391">
        <f>INDEX('S&amp;L CC+CT - Cost Assumptions'!$F$13:$J$64,MATCH($Z36,'S&amp;L CC+CT - Cost Assumptions'!$D$13:$D$59,0),MATCH(T$31,'S&amp;L CC+CT - Cost Assumptions'!$F$7:$J$7,0))</f>
        <v>386.65899999999999</v>
      </c>
      <c r="U36" s="391">
        <f>INDEX('S&amp;L CC+CT - Cost Assumptions'!$F$13:$J$64,MATCH($Z36,'S&amp;L CC+CT - Cost Assumptions'!$D$13:$D$59,0),MATCH(U$31,'S&amp;L CC+CT - Cost Assumptions'!$F$7:$J$7,0))</f>
        <v>382.91800000000001</v>
      </c>
      <c r="V36" s="391">
        <f>INDEX('S&amp;L CC+CT - Cost Assumptions'!$F$13:$J$64,MATCH($Z36,'S&amp;L CC+CT - Cost Assumptions'!$D$13:$D$59,0),MATCH(V$31,'S&amp;L CC+CT - Cost Assumptions'!$F$7:$J$7,0))</f>
        <v>392.53399999999999</v>
      </c>
      <c r="W36" s="204"/>
      <c r="X36" s="204"/>
      <c r="Z36" s="219" t="str">
        <f>'S&amp;L CC+CT - Cost Assumptions'!$D$17</f>
        <v>Net Plant Capacity - Max Summer</v>
      </c>
      <c r="AA36" s="214"/>
      <c r="AB36" s="214"/>
      <c r="AC36" s="313"/>
      <c r="AD36" s="313"/>
      <c r="AE36" s="313"/>
      <c r="AF36" s="313"/>
      <c r="AG36" s="313"/>
      <c r="AH36" s="313"/>
      <c r="AI36" s="313"/>
      <c r="AJ36" s="313"/>
      <c r="AK36" s="313"/>
      <c r="AL36" s="313"/>
      <c r="AM36" s="313"/>
      <c r="AN36" s="313"/>
      <c r="AO36" s="313"/>
      <c r="AP36" s="313"/>
      <c r="AQ36" s="313"/>
      <c r="AR36" s="313"/>
      <c r="AS36" s="313"/>
      <c r="AT36" s="313"/>
      <c r="AU36" s="313"/>
      <c r="AV36" s="313"/>
    </row>
    <row r="37" spans="1:48" s="152" customFormat="1" ht="15" customHeight="1" x14ac:dyDescent="0.35">
      <c r="A37" s="313">
        <f>MAX($A$9:A36)+1</f>
        <v>13</v>
      </c>
      <c r="D37" s="215" t="str">
        <f>'Working Cap and Tax Rates'!$D$21</f>
        <v>Sales and Use Tax Rate, State</v>
      </c>
      <c r="E37" s="152" t="s">
        <v>10</v>
      </c>
      <c r="F37" s="213" t="str">
        <f>"["&amp;A37&amp;"]"</f>
        <v>[13]</v>
      </c>
      <c r="G37" s="313" t="str">
        <f>'Working Cap and Tax Rates'!$D$3</f>
        <v>Table C1</v>
      </c>
      <c r="I37" s="167"/>
      <c r="J37" s="167"/>
      <c r="K37" s="1077">
        <f>_xlfn.XLOOKUP(K$31,'Working Cap and Tax Rates'!$G$16:$K$16,'Working Cap and Tax Rates'!$G$21:$K$21)</f>
        <v>0</v>
      </c>
      <c r="L37" s="1077">
        <f>_xlfn.XLOOKUP(L$31,'Working Cap and Tax Rates'!$G$16:$K$16,'Working Cap and Tax Rates'!$G$21:$K$21)</f>
        <v>0</v>
      </c>
      <c r="M37" s="1077">
        <f>_xlfn.XLOOKUP(M$31,'Working Cap and Tax Rates'!$G$16:$K$16,'Working Cap and Tax Rates'!$G$21:$K$21)</f>
        <v>0</v>
      </c>
      <c r="N37" s="1077">
        <f>_xlfn.XLOOKUP(N$31,'Working Cap and Tax Rates'!$G$16:$K$16,'Working Cap and Tax Rates'!$G$21:$K$21)</f>
        <v>0</v>
      </c>
      <c r="O37" s="1077">
        <f>_xlfn.XLOOKUP(O$31,'Working Cap and Tax Rates'!$G$16:$K$16,'Working Cap and Tax Rates'!$G$21:$K$21)</f>
        <v>6.25E-2</v>
      </c>
      <c r="P37" s="288"/>
      <c r="Q37" s="204"/>
      <c r="R37" s="1077">
        <f>_xlfn.XLOOKUP(R$31,'Working Cap and Tax Rates'!$G$16:$K$16,'Working Cap and Tax Rates'!$G$21:$K$21)</f>
        <v>0</v>
      </c>
      <c r="S37" s="1077">
        <f>_xlfn.XLOOKUP(S$31,'Working Cap and Tax Rates'!$G$16:$K$16,'Working Cap and Tax Rates'!$G$21:$K$21)</f>
        <v>0</v>
      </c>
      <c r="T37" s="1077">
        <f>_xlfn.XLOOKUP(T$31,'Working Cap and Tax Rates'!$G$16:$K$16,'Working Cap and Tax Rates'!$G$21:$K$21)</f>
        <v>0</v>
      </c>
      <c r="U37" s="1077">
        <f>_xlfn.XLOOKUP(U$31,'Working Cap and Tax Rates'!$G$16:$K$16,'Working Cap and Tax Rates'!$G$21:$K$21)</f>
        <v>0</v>
      </c>
      <c r="V37" s="1077">
        <f>_xlfn.XLOOKUP(V$31,'Working Cap and Tax Rates'!$G$16:$K$16,'Working Cap and Tax Rates'!$G$21:$K$21)</f>
        <v>6.25E-2</v>
      </c>
      <c r="W37" s="204"/>
      <c r="X37" s="204"/>
      <c r="Z37" s="219"/>
      <c r="AA37" s="214"/>
      <c r="AB37" s="214"/>
      <c r="AC37" s="313"/>
      <c r="AD37" s="313"/>
      <c r="AE37" s="313"/>
      <c r="AF37" s="313"/>
      <c r="AG37" s="313"/>
      <c r="AH37" s="313"/>
      <c r="AI37" s="313"/>
      <c r="AJ37" s="313"/>
      <c r="AK37" s="313"/>
      <c r="AL37" s="313"/>
      <c r="AM37" s="313"/>
      <c r="AN37" s="313"/>
      <c r="AO37" s="313"/>
      <c r="AP37" s="313"/>
      <c r="AQ37" s="313"/>
      <c r="AR37" s="313"/>
      <c r="AS37" s="313"/>
      <c r="AT37" s="313"/>
      <c r="AU37" s="313"/>
      <c r="AV37" s="313"/>
    </row>
    <row r="38" spans="1:48" s="152" customFormat="1" ht="6" customHeight="1" x14ac:dyDescent="0.35">
      <c r="A38" s="313"/>
      <c r="D38" s="279"/>
      <c r="E38" s="263"/>
      <c r="F38" s="264"/>
      <c r="G38" s="265"/>
      <c r="H38" s="155"/>
      <c r="I38" s="295"/>
      <c r="J38" s="295"/>
      <c r="K38" s="280"/>
      <c r="L38" s="280"/>
      <c r="M38" s="280"/>
      <c r="N38" s="280"/>
      <c r="O38" s="280"/>
      <c r="P38" s="295"/>
      <c r="Q38" s="260"/>
      <c r="R38" s="280"/>
      <c r="S38" s="280"/>
      <c r="T38" s="280"/>
      <c r="U38" s="280"/>
      <c r="V38" s="280"/>
      <c r="W38" s="261"/>
      <c r="X38" s="260"/>
      <c r="Z38" s="219"/>
      <c r="AA38" s="214"/>
      <c r="AB38" s="214"/>
      <c r="AC38" s="313"/>
      <c r="AD38" s="313"/>
      <c r="AE38" s="313"/>
      <c r="AF38" s="313"/>
      <c r="AG38" s="313"/>
      <c r="AH38" s="313"/>
      <c r="AI38" s="313"/>
      <c r="AJ38" s="313"/>
      <c r="AK38" s="313"/>
      <c r="AL38" s="313"/>
      <c r="AM38" s="313"/>
      <c r="AN38" s="313"/>
      <c r="AO38" s="313"/>
      <c r="AP38" s="313"/>
      <c r="AQ38" s="313"/>
      <c r="AR38" s="313"/>
      <c r="AS38" s="313"/>
      <c r="AT38" s="313"/>
      <c r="AU38" s="313"/>
      <c r="AV38" s="313"/>
    </row>
    <row r="39" spans="1:48" s="152" customFormat="1" ht="6" customHeight="1" x14ac:dyDescent="0.35">
      <c r="D39" s="313"/>
      <c r="G39" s="313"/>
      <c r="I39" s="204"/>
      <c r="J39" s="204"/>
      <c r="L39" s="313"/>
      <c r="M39" s="313"/>
      <c r="N39" s="313"/>
      <c r="O39" s="313"/>
      <c r="P39" s="246"/>
      <c r="Q39" s="204"/>
      <c r="S39" s="313"/>
      <c r="T39" s="313"/>
      <c r="U39" s="313"/>
      <c r="V39" s="313"/>
      <c r="W39" s="313"/>
      <c r="Z39" s="214"/>
      <c r="AA39" s="214"/>
      <c r="AB39" s="214"/>
    </row>
    <row r="40" spans="1:48" s="152" customFormat="1" ht="15" customHeight="1" x14ac:dyDescent="0.35">
      <c r="A40" s="313"/>
      <c r="D40" s="162" t="s">
        <v>390</v>
      </c>
      <c r="F40" s="213"/>
      <c r="G40" s="313"/>
      <c r="K40" s="153"/>
      <c r="L40" s="153"/>
      <c r="M40" s="153"/>
      <c r="N40" s="153"/>
      <c r="O40" s="153"/>
      <c r="P40" s="356"/>
      <c r="Q40" s="204"/>
      <c r="U40" s="313"/>
      <c r="V40" s="313"/>
      <c r="W40" s="313"/>
      <c r="Y40" s="79"/>
      <c r="Z40" s="214"/>
      <c r="AA40" s="214"/>
      <c r="AB40" s="49" t="s">
        <v>336</v>
      </c>
    </row>
    <row r="41" spans="1:48" s="152" customFormat="1" ht="15" customHeight="1" x14ac:dyDescent="0.35">
      <c r="A41" s="313"/>
      <c r="D41" s="291" t="str">
        <f>Z41</f>
        <v>Owner Furnished Equipment</v>
      </c>
      <c r="F41" s="213"/>
      <c r="G41" s="313"/>
      <c r="K41" s="153"/>
      <c r="L41" s="153"/>
      <c r="M41" s="153"/>
      <c r="N41" s="153"/>
      <c r="O41" s="153"/>
      <c r="P41" s="356"/>
      <c r="Q41" s="204"/>
      <c r="U41" s="313"/>
      <c r="V41" s="313"/>
      <c r="W41" s="313"/>
      <c r="Y41" s="79"/>
      <c r="Z41" s="214" t="str">
        <f>'S&amp;L CC+CT - Capital Costs'!$D15</f>
        <v>Owner Furnished Equipment</v>
      </c>
      <c r="AA41" s="214"/>
      <c r="AB41" s="49"/>
    </row>
    <row r="42" spans="1:48" s="152" customFormat="1" ht="15" customHeight="1" x14ac:dyDescent="0.35">
      <c r="A42" s="313">
        <f>MAX($A$9:A41)+1</f>
        <v>14</v>
      </c>
      <c r="D42" s="215" t="str">
        <f t="shared" ref="D42:D57" si="2">Z42</f>
        <v>Gas Turbines</v>
      </c>
      <c r="E42" s="152" t="s">
        <v>42</v>
      </c>
      <c r="F42" s="213" t="str">
        <f>"["&amp;A42&amp;"]"</f>
        <v>[14]</v>
      </c>
      <c r="G42" s="313" t="str">
        <f>'S&amp;L CC+CT - Capital Costs'!$D$3</f>
        <v>Table C8</v>
      </c>
      <c r="H42" s="168">
        <f>IF($AA42=$Z$2,$H$19,IF($AA42=$Z$3, $H$20, ""))</f>
        <v>4.5026494815916251E-3</v>
      </c>
      <c r="K42" s="276">
        <f>INDEX('S&amp;L CC+CT - Capital Costs'!$G$16:$K$56,MATCH($Z42,'S&amp;L CC+CT - Capital Costs'!$D$16:$D$56,0),MATCH(K$31,'S&amp;L CC+CT - Capital Costs'!$G$8:$K$8,0))</f>
        <v>158000000</v>
      </c>
      <c r="L42" s="276">
        <f>INDEX('S&amp;L CC+CT - Capital Costs'!$G$16:$K$56,MATCH($Z42,'S&amp;L CC+CT - Capital Costs'!$D$16:$D$56,0),MATCH(L$31,'S&amp;L CC+CT - Capital Costs'!$G$8:$K$8,0))</f>
        <v>158000000</v>
      </c>
      <c r="M42" s="276">
        <f>INDEX('S&amp;L CC+CT - Capital Costs'!$G$16:$K$56,MATCH($Z42,'S&amp;L CC+CT - Capital Costs'!$D$16:$D$56,0),MATCH(M$31,'S&amp;L CC+CT - Capital Costs'!$G$8:$K$8,0))</f>
        <v>158000000</v>
      </c>
      <c r="N42" s="276">
        <f>INDEX('S&amp;L CC+CT - Capital Costs'!$G$16:$K$56,MATCH($Z42,'S&amp;L CC+CT - Capital Costs'!$D$16:$D$56,0),MATCH(N$31,'S&amp;L CC+CT - Capital Costs'!$G$8:$K$8,0))</f>
        <v>158000000</v>
      </c>
      <c r="O42" s="276">
        <f>INDEX('S&amp;L CC+CT - Capital Costs'!$G$16:$K$56,MATCH($Z42,'S&amp;L CC+CT - Capital Costs'!$D$16:$D$56,0),MATCH(O$31,'S&amp;L CC+CT - Capital Costs'!$G$8:$K$8,0))</f>
        <v>158000000</v>
      </c>
      <c r="P42" s="356"/>
      <c r="Q42" s="204"/>
      <c r="R42" s="276">
        <f t="shared" ref="R42:V43" si="3">K42*(1+$H42)</f>
        <v>158711418.61809146</v>
      </c>
      <c r="S42" s="276">
        <f t="shared" si="3"/>
        <v>158711418.61809146</v>
      </c>
      <c r="T42" s="276">
        <f t="shared" si="3"/>
        <v>158711418.61809146</v>
      </c>
      <c r="U42" s="276">
        <f t="shared" si="3"/>
        <v>158711418.61809146</v>
      </c>
      <c r="V42" s="276">
        <f t="shared" si="3"/>
        <v>158711418.61809146</v>
      </c>
      <c r="W42" s="313"/>
      <c r="Y42" s="79"/>
      <c r="Z42" s="214" t="str">
        <f>'S&amp;L CC+CT - Capital Costs'!$D16</f>
        <v>Gas Turbines</v>
      </c>
      <c r="AA42" s="214" t="s">
        <v>585</v>
      </c>
      <c r="AB42" s="1335" t="s">
        <v>338</v>
      </c>
    </row>
    <row r="43" spans="1:48" s="152" customFormat="1" ht="15" customHeight="1" x14ac:dyDescent="0.35">
      <c r="A43" s="313">
        <f>MAX($A$9:A42)+1</f>
        <v>15</v>
      </c>
      <c r="D43" s="215" t="str">
        <f t="shared" si="2"/>
        <v>HRSG / SCR</v>
      </c>
      <c r="E43" s="152" t="s">
        <v>42</v>
      </c>
      <c r="F43" s="213" t="str">
        <f>"["&amp;A43&amp;"]"</f>
        <v>[15]</v>
      </c>
      <c r="G43" s="313" t="str">
        <f>'S&amp;L CC+CT - Capital Costs'!$D$3</f>
        <v>Table C8</v>
      </c>
      <c r="H43" s="168">
        <f>IF($AA43=$Z$2,$H$19,IF($AA43=$Z$3, $H$20, ""))</f>
        <v>4.5026494815916251E-3</v>
      </c>
      <c r="K43" s="276">
        <f>INDEX('S&amp;L CC+CT - Capital Costs'!$G$16:$K$56,MATCH($Z43,'S&amp;L CC+CT - Capital Costs'!$D$16:$D$56,0),MATCH(K$31,'S&amp;L CC+CT - Capital Costs'!$G$8:$K$8,0))</f>
        <v>53000000</v>
      </c>
      <c r="L43" s="276">
        <f>INDEX('S&amp;L CC+CT - Capital Costs'!$G$16:$K$56,MATCH($Z43,'S&amp;L CC+CT - Capital Costs'!$D$16:$D$56,0),MATCH(L$31,'S&amp;L CC+CT - Capital Costs'!$G$8:$K$8,0))</f>
        <v>53000000</v>
      </c>
      <c r="M43" s="276">
        <f>INDEX('S&amp;L CC+CT - Capital Costs'!$G$16:$K$56,MATCH($Z43,'S&amp;L CC+CT - Capital Costs'!$D$16:$D$56,0),MATCH(M$31,'S&amp;L CC+CT - Capital Costs'!$G$8:$K$8,0))</f>
        <v>53000000</v>
      </c>
      <c r="N43" s="276">
        <f>INDEX('S&amp;L CC+CT - Capital Costs'!$G$16:$K$56,MATCH($Z43,'S&amp;L CC+CT - Capital Costs'!$D$16:$D$56,0),MATCH(N$31,'S&amp;L CC+CT - Capital Costs'!$G$8:$K$8,0))</f>
        <v>53000000</v>
      </c>
      <c r="O43" s="276">
        <f>INDEX('S&amp;L CC+CT - Capital Costs'!$G$16:$K$56,MATCH($Z43,'S&amp;L CC+CT - Capital Costs'!$D$16:$D$56,0),MATCH(O$31,'S&amp;L CC+CT - Capital Costs'!$G$8:$K$8,0))</f>
        <v>53000000</v>
      </c>
      <c r="P43" s="356"/>
      <c r="Q43" s="204"/>
      <c r="R43" s="276">
        <f t="shared" si="3"/>
        <v>53238640.422524355</v>
      </c>
      <c r="S43" s="276">
        <f t="shared" si="3"/>
        <v>53238640.422524355</v>
      </c>
      <c r="T43" s="276">
        <f t="shared" si="3"/>
        <v>53238640.422524355</v>
      </c>
      <c r="U43" s="276">
        <f t="shared" si="3"/>
        <v>53238640.422524355</v>
      </c>
      <c r="V43" s="276">
        <f t="shared" si="3"/>
        <v>53238640.422524355</v>
      </c>
      <c r="W43" s="313"/>
      <c r="Y43" s="79"/>
      <c r="Z43" s="214" t="str">
        <f>'S&amp;L CC+CT - Capital Costs'!$D17</f>
        <v>HRSG / SCR</v>
      </c>
      <c r="AA43" s="214" t="s">
        <v>585</v>
      </c>
      <c r="AB43" s="1335" t="s">
        <v>338</v>
      </c>
    </row>
    <row r="44" spans="1:48" s="152" customFormat="1" ht="15" customHeight="1" x14ac:dyDescent="0.35">
      <c r="A44" s="313">
        <f>MAX($A$9:A43)+1</f>
        <v>16</v>
      </c>
      <c r="D44" s="215" t="str">
        <f t="shared" si="2"/>
        <v>Sales Tax</v>
      </c>
      <c r="E44" s="152" t="s">
        <v>42</v>
      </c>
      <c r="F44" s="213" t="str">
        <f>"["&amp;A44&amp;"]"</f>
        <v>[16]</v>
      </c>
      <c r="G44" s="313" t="str">
        <f>F37&amp;" x SUM("&amp;F42&amp;":"&amp;$F$43&amp;")"</f>
        <v>[13] x SUM([14]:[15])</v>
      </c>
      <c r="H44" s="168" t="str">
        <f>IF($AA44=$Z$2,$H$19,IF($AA44=$Z$3, $H$20, ""))</f>
        <v/>
      </c>
      <c r="K44" s="276">
        <f>K37*SUM(K42:K43)</f>
        <v>0</v>
      </c>
      <c r="L44" s="276">
        <f>L37*SUM(L42:L43)</f>
        <v>0</v>
      </c>
      <c r="M44" s="276">
        <f>M37*SUM(M42:M43)</f>
        <v>0</v>
      </c>
      <c r="N44" s="276">
        <f>N37*SUM(N42:N43)</f>
        <v>0</v>
      </c>
      <c r="O44" s="276">
        <f>O37*SUM(O42:O43)</f>
        <v>13187500</v>
      </c>
      <c r="P44" s="356"/>
      <c r="Q44" s="204"/>
      <c r="R44" s="276">
        <f>R37*SUM(R42:R43)</f>
        <v>0</v>
      </c>
      <c r="S44" s="276">
        <f>S37*SUM(S42:S43)</f>
        <v>0</v>
      </c>
      <c r="T44" s="276">
        <f>T37*SUM(T42:T43)</f>
        <v>0</v>
      </c>
      <c r="U44" s="276">
        <f>U37*SUM(U42:U43)</f>
        <v>0</v>
      </c>
      <c r="V44" s="276">
        <f>V37*SUM(V42:V43)</f>
        <v>13246878.690038489</v>
      </c>
      <c r="W44" s="313"/>
      <c r="Y44" s="79"/>
      <c r="Z44" s="214" t="str">
        <f>'S&amp;L CC+CT - Capital Costs'!$D19</f>
        <v>Sales Tax</v>
      </c>
      <c r="AA44" s="214"/>
      <c r="AB44" s="1335" t="s">
        <v>338</v>
      </c>
    </row>
    <row r="45" spans="1:48" s="152" customFormat="1" ht="15" customHeight="1" x14ac:dyDescent="0.35">
      <c r="A45" s="313">
        <f>MAX($A$9:A44)+1</f>
        <v>17</v>
      </c>
      <c r="D45" s="1019" t="str">
        <f t="shared" si="2"/>
        <v>Total Owner Furnished Equipment</v>
      </c>
      <c r="E45" s="161" t="s">
        <v>42</v>
      </c>
      <c r="F45" s="224" t="str">
        <f>"["&amp;A45&amp;"]"</f>
        <v>[17]</v>
      </c>
      <c r="G45" s="2129" t="str">
        <f>"SUM("&amp;F42&amp;":"&amp;F44&amp;")"</f>
        <v>SUM([14]:[16])</v>
      </c>
      <c r="H45" s="1582" t="str">
        <f>IF($AA45=$Z$2,$H$19,IF($AA45=$Z$3, $H$20, ""))</f>
        <v/>
      </c>
      <c r="I45" s="161"/>
      <c r="J45" s="161"/>
      <c r="K45" s="164">
        <f>SUM(K42:K44)</f>
        <v>211000000</v>
      </c>
      <c r="L45" s="164">
        <f>SUM(L42:L44)</f>
        <v>211000000</v>
      </c>
      <c r="M45" s="164">
        <f>SUM(M42:M44)</f>
        <v>211000000</v>
      </c>
      <c r="N45" s="164">
        <f>SUM(N42:N44)</f>
        <v>211000000</v>
      </c>
      <c r="O45" s="164">
        <f>SUM(O42:O44)</f>
        <v>224187500</v>
      </c>
      <c r="P45" s="358"/>
      <c r="Q45" s="283"/>
      <c r="R45" s="164">
        <f>SUM(R42:R44)</f>
        <v>211950059.04061583</v>
      </c>
      <c r="S45" s="164">
        <f>SUM(S42:S44)</f>
        <v>211950059.04061583</v>
      </c>
      <c r="T45" s="164">
        <f>SUM(T42:T44)</f>
        <v>211950059.04061583</v>
      </c>
      <c r="U45" s="164">
        <f>SUM(U42:U44)</f>
        <v>211950059.04061583</v>
      </c>
      <c r="V45" s="164">
        <f>SUM(V42:V44)</f>
        <v>225196937.73065433</v>
      </c>
      <c r="W45" s="313"/>
      <c r="Y45" s="79"/>
      <c r="Z45" s="214" t="str">
        <f>'S&amp;L CC+CT - Capital Costs'!$D20</f>
        <v>Total Owner Furnished Equipment</v>
      </c>
      <c r="AA45" s="214"/>
      <c r="AB45" s="49"/>
    </row>
    <row r="46" spans="1:48" s="152" customFormat="1" ht="6" customHeight="1" x14ac:dyDescent="0.35">
      <c r="D46" s="162"/>
      <c r="F46" s="213"/>
      <c r="G46" s="313"/>
      <c r="H46" s="313"/>
      <c r="K46" s="153"/>
      <c r="L46" s="153"/>
      <c r="M46" s="153"/>
      <c r="N46" s="153"/>
      <c r="O46" s="153"/>
      <c r="P46" s="356"/>
      <c r="Q46" s="204"/>
      <c r="R46" s="313"/>
      <c r="S46" s="313"/>
      <c r="T46" s="313"/>
      <c r="U46" s="313"/>
      <c r="V46" s="313"/>
      <c r="W46" s="313"/>
      <c r="Y46" s="79"/>
      <c r="Z46" s="214"/>
      <c r="AA46" s="214"/>
      <c r="AB46" s="49"/>
    </row>
    <row r="47" spans="1:48" s="152" customFormat="1" ht="15" customHeight="1" x14ac:dyDescent="0.35">
      <c r="A47" s="313"/>
      <c r="D47" s="291" t="str">
        <f t="shared" si="2"/>
        <v>EPC Costs</v>
      </c>
      <c r="F47" s="213"/>
      <c r="G47" s="313"/>
      <c r="H47" s="313"/>
      <c r="K47" s="153"/>
      <c r="L47" s="153"/>
      <c r="M47" s="153"/>
      <c r="N47" s="153"/>
      <c r="O47" s="153"/>
      <c r="P47" s="356"/>
      <c r="Q47" s="204"/>
      <c r="R47" s="313"/>
      <c r="S47" s="313"/>
      <c r="T47" s="313"/>
      <c r="U47" s="313"/>
      <c r="V47" s="313"/>
      <c r="W47" s="313"/>
      <c r="Y47" s="79"/>
      <c r="Z47" s="214" t="str">
        <f>'S&amp;L CC+CT - Capital Costs'!$D22</f>
        <v>EPC Costs</v>
      </c>
      <c r="AA47" s="214"/>
      <c r="AB47" s="49"/>
    </row>
    <row r="48" spans="1:48" s="152" customFormat="1" ht="15" customHeight="1" x14ac:dyDescent="0.35">
      <c r="A48" s="313">
        <f>MAX($A$9:A47)+1</f>
        <v>18</v>
      </c>
      <c r="D48" s="215" t="str">
        <f t="shared" si="2"/>
        <v>Other Equipment</v>
      </c>
      <c r="E48" s="152" t="s">
        <v>42</v>
      </c>
      <c r="F48" s="213" t="str">
        <f t="shared" ref="F48:F57" si="4">"["&amp;A48&amp;"]"</f>
        <v>[18]</v>
      </c>
      <c r="G48" s="313" t="str">
        <f>'S&amp;L CC+CT - Capital Costs'!$D$3</f>
        <v>Table C8</v>
      </c>
      <c r="H48" s="168">
        <f t="shared" ref="H48:H55" si="5">IF($AA48=$Z$2,$H$19,IF($AA48=$Z$3, $H$20, ""))</f>
        <v>4.5026494815916251E-3</v>
      </c>
      <c r="I48" s="154"/>
      <c r="J48" s="154"/>
      <c r="K48" s="276">
        <f>INDEX('S&amp;L CC+CT - Capital Costs'!$G$16:$K$56,MATCH($Z48,'S&amp;L CC+CT - Capital Costs'!$D$16:$D$56,0),MATCH(K$31,'S&amp;L CC+CT - Capital Costs'!$G$8:$K$8,0))</f>
        <v>33590000</v>
      </c>
      <c r="L48" s="276">
        <f>INDEX('S&amp;L CC+CT - Capital Costs'!$G$16:$K$56,MATCH($Z48,'S&amp;L CC+CT - Capital Costs'!$D$16:$D$56,0),MATCH(L$31,'S&amp;L CC+CT - Capital Costs'!$G$8:$K$8,0))</f>
        <v>33590000</v>
      </c>
      <c r="M48" s="276">
        <f>INDEX('S&amp;L CC+CT - Capital Costs'!$G$16:$K$56,MATCH($Z48,'S&amp;L CC+CT - Capital Costs'!$D$16:$D$56,0),MATCH(M$31,'S&amp;L CC+CT - Capital Costs'!$G$8:$K$8,0))</f>
        <v>33590000</v>
      </c>
      <c r="N48" s="276">
        <f>INDEX('S&amp;L CC+CT - Capital Costs'!$G$16:$K$56,MATCH($Z48,'S&amp;L CC+CT - Capital Costs'!$D$16:$D$56,0),MATCH(N$31,'S&amp;L CC+CT - Capital Costs'!$G$8:$K$8,0))</f>
        <v>33590000</v>
      </c>
      <c r="O48" s="276">
        <f>INDEX('S&amp;L CC+CT - Capital Costs'!$G$16:$K$56,MATCH($Z48,'S&amp;L CC+CT - Capital Costs'!$D$16:$D$56,0),MATCH(O$31,'S&amp;L CC+CT - Capital Costs'!$G$8:$K$8,0))</f>
        <v>33590000</v>
      </c>
      <c r="P48" s="356"/>
      <c r="Q48" s="328"/>
      <c r="R48" s="276">
        <f t="shared" ref="R48:V51" si="6">K48*(1+$H48)</f>
        <v>33741243.996086664</v>
      </c>
      <c r="S48" s="276">
        <f t="shared" si="6"/>
        <v>33741243.996086664</v>
      </c>
      <c r="T48" s="276">
        <f t="shared" si="6"/>
        <v>33741243.996086664</v>
      </c>
      <c r="U48" s="276">
        <f t="shared" si="6"/>
        <v>33741243.996086664</v>
      </c>
      <c r="V48" s="276">
        <f t="shared" si="6"/>
        <v>33741243.996086664</v>
      </c>
      <c r="W48" s="153"/>
      <c r="X48" s="156"/>
      <c r="Y48" s="79"/>
      <c r="Z48" s="214" t="str">
        <f>'S&amp;L CC+CT - Capital Costs'!$D25</f>
        <v>Other Equipment</v>
      </c>
      <c r="AA48" s="214" t="s">
        <v>585</v>
      </c>
      <c r="AB48" s="129" t="s">
        <v>338</v>
      </c>
    </row>
    <row r="49" spans="1:28" s="152" customFormat="1" ht="15" customHeight="1" x14ac:dyDescent="0.35">
      <c r="A49" s="313">
        <f>MAX($A$9:A48)+1</f>
        <v>19</v>
      </c>
      <c r="D49" s="215" t="str">
        <f t="shared" si="2"/>
        <v>Construction Labor</v>
      </c>
      <c r="E49" s="152" t="s">
        <v>42</v>
      </c>
      <c r="F49" s="213" t="str">
        <f t="shared" si="4"/>
        <v>[19]</v>
      </c>
      <c r="G49" s="313" t="str">
        <f>'S&amp;L CC+CT - Capital Costs'!$D$3</f>
        <v>Table C8</v>
      </c>
      <c r="H49" s="168">
        <f t="shared" si="5"/>
        <v>2.732183657242615E-2</v>
      </c>
      <c r="I49" s="154"/>
      <c r="J49" s="154"/>
      <c r="K49" s="276">
        <f>INDEX('S&amp;L CC+CT - Capital Costs'!$G$16:$K$56,MATCH($Z49,'S&amp;L CC+CT - Capital Costs'!$D$16:$D$56,0),MATCH(K$31,'S&amp;L CC+CT - Capital Costs'!$G$8:$K$8,0))</f>
        <v>71530000</v>
      </c>
      <c r="L49" s="276">
        <f>INDEX('S&amp;L CC+CT - Capital Costs'!$G$16:$K$56,MATCH($Z49,'S&amp;L CC+CT - Capital Costs'!$D$16:$D$56,0),MATCH(L$31,'S&amp;L CC+CT - Capital Costs'!$G$8:$K$8,0))</f>
        <v>57969000</v>
      </c>
      <c r="M49" s="276">
        <f>INDEX('S&amp;L CC+CT - Capital Costs'!$G$16:$K$56,MATCH($Z49,'S&amp;L CC+CT - Capital Costs'!$D$16:$D$56,0),MATCH(M$31,'S&amp;L CC+CT - Capital Costs'!$G$8:$K$8,0))</f>
        <v>58669000</v>
      </c>
      <c r="N49" s="276">
        <f>INDEX('S&amp;L CC+CT - Capital Costs'!$G$16:$K$56,MATCH($Z49,'S&amp;L CC+CT - Capital Costs'!$D$16:$D$56,0),MATCH(N$31,'S&amp;L CC+CT - Capital Costs'!$G$8:$K$8,0))</f>
        <v>63522000</v>
      </c>
      <c r="O49" s="276">
        <f>INDEX('S&amp;L CC+CT - Capital Costs'!$G$16:$K$56,MATCH($Z49,'S&amp;L CC+CT - Capital Costs'!$D$16:$D$56,0),MATCH(O$31,'S&amp;L CC+CT - Capital Costs'!$G$8:$K$8,0))</f>
        <v>83591000</v>
      </c>
      <c r="P49" s="356"/>
      <c r="Q49" s="328"/>
      <c r="R49" s="276">
        <f t="shared" si="6"/>
        <v>73484330.970025644</v>
      </c>
      <c r="S49" s="276">
        <f t="shared" si="6"/>
        <v>59552819.544266969</v>
      </c>
      <c r="T49" s="276">
        <f t="shared" si="6"/>
        <v>60271944.829867668</v>
      </c>
      <c r="U49" s="276">
        <f t="shared" si="6"/>
        <v>65257537.702753656</v>
      </c>
      <c r="V49" s="276">
        <f t="shared" si="6"/>
        <v>85874859.640925676</v>
      </c>
      <c r="W49" s="153"/>
      <c r="X49" s="156"/>
      <c r="Y49" s="79"/>
      <c r="Z49" s="214" t="str">
        <f>'S&amp;L CC+CT - Capital Costs'!$D27</f>
        <v>Construction Labor</v>
      </c>
      <c r="AA49" s="219" t="s">
        <v>515</v>
      </c>
      <c r="AB49" s="129" t="s">
        <v>338</v>
      </c>
    </row>
    <row r="50" spans="1:28" s="313" customFormat="1" ht="15" customHeight="1" x14ac:dyDescent="0.35">
      <c r="A50" s="313">
        <f>MAX($A$9:A49)+1</f>
        <v>20</v>
      </c>
      <c r="D50" s="215" t="str">
        <f t="shared" si="2"/>
        <v xml:space="preserve">Other Labor </v>
      </c>
      <c r="E50" s="313" t="s">
        <v>42</v>
      </c>
      <c r="F50" s="312" t="str">
        <f t="shared" si="4"/>
        <v>[20]</v>
      </c>
      <c r="G50" s="313" t="str">
        <f>'S&amp;L CC+CT - Capital Costs'!$D$3</f>
        <v>Table C8</v>
      </c>
      <c r="H50" s="168">
        <f t="shared" si="5"/>
        <v>2.732183657242615E-2</v>
      </c>
      <c r="I50" s="154"/>
      <c r="J50" s="154"/>
      <c r="K50" s="276">
        <f>INDEX('S&amp;L CC+CT - Capital Costs'!$G$16:$K$56,MATCH($Z50,'S&amp;L CC+CT - Capital Costs'!$D$16:$D$56,0),MATCH(K$31,'S&amp;L CC+CT - Capital Costs'!$G$8:$K$8,0))</f>
        <v>27302000</v>
      </c>
      <c r="L50" s="276">
        <f>INDEX('S&amp;L CC+CT - Capital Costs'!$G$16:$K$56,MATCH($Z50,'S&amp;L CC+CT - Capital Costs'!$D$16:$D$56,0),MATCH(L$31,'S&amp;L CC+CT - Capital Costs'!$G$8:$K$8,0))</f>
        <v>26488000</v>
      </c>
      <c r="M50" s="276">
        <f>INDEX('S&amp;L CC+CT - Capital Costs'!$G$16:$K$56,MATCH($Z50,'S&amp;L CC+CT - Capital Costs'!$D$16:$D$56,0),MATCH(M$31,'S&amp;L CC+CT - Capital Costs'!$G$8:$K$8,0))</f>
        <v>26529000</v>
      </c>
      <c r="N50" s="276">
        <f>INDEX('S&amp;L CC+CT - Capital Costs'!$G$16:$K$56,MATCH($Z50,'S&amp;L CC+CT - Capital Costs'!$D$16:$D$56,0),MATCH(N$31,'S&amp;L CC+CT - Capital Costs'!$G$8:$K$8,0))</f>
        <v>26821000</v>
      </c>
      <c r="O50" s="276">
        <f>INDEX('S&amp;L CC+CT - Capital Costs'!$G$16:$K$56,MATCH($Z50,'S&amp;L CC+CT - Capital Costs'!$D$16:$D$56,0),MATCH(O$31,'S&amp;L CC+CT - Capital Costs'!$G$8:$K$8,0))</f>
        <v>28025000</v>
      </c>
      <c r="P50" s="356"/>
      <c r="Q50" s="328"/>
      <c r="R50" s="276">
        <f t="shared" si="6"/>
        <v>28047940.782100379</v>
      </c>
      <c r="S50" s="276">
        <f t="shared" si="6"/>
        <v>27211700.807130422</v>
      </c>
      <c r="T50" s="276">
        <f t="shared" si="6"/>
        <v>27253821.002429895</v>
      </c>
      <c r="U50" s="276">
        <f t="shared" si="6"/>
        <v>27553798.978709042</v>
      </c>
      <c r="V50" s="276">
        <f t="shared" si="6"/>
        <v>28790694.469942242</v>
      </c>
      <c r="W50" s="153"/>
      <c r="X50" s="153"/>
      <c r="Y50" s="144"/>
      <c r="Z50" s="214" t="str">
        <f>'S&amp;L CC+CT - Capital Costs'!$D28</f>
        <v xml:space="preserve">Other Labor </v>
      </c>
      <c r="AA50" s="219" t="s">
        <v>515</v>
      </c>
      <c r="AB50" s="129" t="s">
        <v>338</v>
      </c>
    </row>
    <row r="51" spans="1:28" s="152" customFormat="1" ht="15" customHeight="1" x14ac:dyDescent="0.35">
      <c r="A51" s="313">
        <f>MAX($A$9:A50)+1</f>
        <v>21</v>
      </c>
      <c r="D51" s="215" t="str">
        <f t="shared" si="2"/>
        <v>Materials</v>
      </c>
      <c r="E51" s="152" t="s">
        <v>42</v>
      </c>
      <c r="F51" s="213" t="str">
        <f t="shared" si="4"/>
        <v>[21]</v>
      </c>
      <c r="G51" s="313" t="str">
        <f>'S&amp;L CC+CT - Capital Costs'!$D$3</f>
        <v>Table C8</v>
      </c>
      <c r="H51" s="168">
        <f t="shared" si="5"/>
        <v>2.732183657242615E-2</v>
      </c>
      <c r="I51" s="154"/>
      <c r="J51" s="154"/>
      <c r="K51" s="276">
        <f>INDEX('S&amp;L CC+CT - Capital Costs'!$G$16:$K$56,MATCH($Z51,'S&amp;L CC+CT - Capital Costs'!$D$16:$D$56,0),MATCH(K$31,'S&amp;L CC+CT - Capital Costs'!$G$8:$K$8,0))</f>
        <v>14404000</v>
      </c>
      <c r="L51" s="276">
        <f>INDEX('S&amp;L CC+CT - Capital Costs'!$G$16:$K$56,MATCH($Z51,'S&amp;L CC+CT - Capital Costs'!$D$16:$D$56,0),MATCH(L$31,'S&amp;L CC+CT - Capital Costs'!$G$8:$K$8,0))</f>
        <v>14404000</v>
      </c>
      <c r="M51" s="276">
        <f>INDEX('S&amp;L CC+CT - Capital Costs'!$G$16:$K$56,MATCH($Z51,'S&amp;L CC+CT - Capital Costs'!$D$16:$D$56,0),MATCH(M$31,'S&amp;L CC+CT - Capital Costs'!$G$8:$K$8,0))</f>
        <v>14404000</v>
      </c>
      <c r="N51" s="276">
        <f>INDEX('S&amp;L CC+CT - Capital Costs'!$G$16:$K$56,MATCH($Z51,'S&amp;L CC+CT - Capital Costs'!$D$16:$D$56,0),MATCH(N$31,'S&amp;L CC+CT - Capital Costs'!$G$8:$K$8,0))</f>
        <v>14404000</v>
      </c>
      <c r="O51" s="276">
        <f>INDEX('S&amp;L CC+CT - Capital Costs'!$G$16:$K$56,MATCH($Z51,'S&amp;L CC+CT - Capital Costs'!$D$16:$D$56,0),MATCH(O$31,'S&amp;L CC+CT - Capital Costs'!$G$8:$K$8,0))</f>
        <v>14404000</v>
      </c>
      <c r="P51" s="356"/>
      <c r="Q51" s="328"/>
      <c r="R51" s="276">
        <f t="shared" si="6"/>
        <v>14797543.733989226</v>
      </c>
      <c r="S51" s="276">
        <f t="shared" si="6"/>
        <v>14797543.733989226</v>
      </c>
      <c r="T51" s="276">
        <f t="shared" si="6"/>
        <v>14797543.733989226</v>
      </c>
      <c r="U51" s="276">
        <f t="shared" si="6"/>
        <v>14797543.733989226</v>
      </c>
      <c r="V51" s="276">
        <f t="shared" si="6"/>
        <v>14797543.733989226</v>
      </c>
      <c r="W51" s="153"/>
      <c r="X51" s="156"/>
      <c r="Y51" s="79"/>
      <c r="Z51" s="214" t="str">
        <f>'S&amp;L CC+CT - Capital Costs'!$D29</f>
        <v>Materials</v>
      </c>
      <c r="AA51" s="219" t="s">
        <v>515</v>
      </c>
      <c r="AB51" s="129" t="s">
        <v>337</v>
      </c>
    </row>
    <row r="52" spans="1:28" s="152" customFormat="1" ht="15" customHeight="1" x14ac:dyDescent="0.35">
      <c r="A52" s="313">
        <f>MAX($A$9:A51)+1</f>
        <v>22</v>
      </c>
      <c r="D52" s="215" t="str">
        <f t="shared" si="2"/>
        <v>Sales Tax</v>
      </c>
      <c r="E52" s="152" t="s">
        <v>42</v>
      </c>
      <c r="F52" s="213" t="str">
        <f t="shared" si="4"/>
        <v>[22]</v>
      </c>
      <c r="G52" s="313" t="str">
        <f>F37&amp;" x "&amp;$F$48</f>
        <v>[13] x [18]</v>
      </c>
      <c r="H52" s="168" t="str">
        <f t="shared" si="5"/>
        <v/>
      </c>
      <c r="I52" s="154"/>
      <c r="J52" s="154"/>
      <c r="K52" s="276">
        <f>K37*K48</f>
        <v>0</v>
      </c>
      <c r="L52" s="276">
        <f>L37*L48</f>
        <v>0</v>
      </c>
      <c r="M52" s="276">
        <f>M37*M48</f>
        <v>0</v>
      </c>
      <c r="N52" s="276">
        <f>N37*N48</f>
        <v>0</v>
      </c>
      <c r="O52" s="276">
        <f>O37*O48</f>
        <v>2099375</v>
      </c>
      <c r="P52" s="276"/>
      <c r="Q52" s="276"/>
      <c r="R52" s="276">
        <f>R37*R48</f>
        <v>0</v>
      </c>
      <c r="S52" s="276">
        <f>S37*S48</f>
        <v>0</v>
      </c>
      <c r="T52" s="276">
        <f>T37*T48</f>
        <v>0</v>
      </c>
      <c r="U52" s="276">
        <f>U37*U48</f>
        <v>0</v>
      </c>
      <c r="V52" s="276">
        <f>V37*V48</f>
        <v>2108827.7497554165</v>
      </c>
      <c r="W52" s="153"/>
      <c r="X52" s="156"/>
      <c r="Y52" s="79"/>
      <c r="Z52" s="214" t="str">
        <f>'S&amp;L CC+CT - Capital Costs'!$D30</f>
        <v>Sales Tax</v>
      </c>
      <c r="AA52" s="214"/>
      <c r="AB52" s="129" t="s">
        <v>338</v>
      </c>
    </row>
    <row r="53" spans="1:28" s="152" customFormat="1" ht="15" customHeight="1" x14ac:dyDescent="0.35">
      <c r="A53" s="313">
        <f>MAX($A$9:A52)+1</f>
        <v>23</v>
      </c>
      <c r="D53" s="215" t="str">
        <f t="shared" si="2"/>
        <v>EPC Contractor Fee</v>
      </c>
      <c r="E53" s="152" t="s">
        <v>42</v>
      </c>
      <c r="F53" s="213" t="str">
        <f t="shared" si="4"/>
        <v>[23]</v>
      </c>
      <c r="G53" s="168" t="str">
        <f>F10&amp;" x SUM("&amp;$F$45&amp;":"&amp;$F52&amp;")"</f>
        <v>[2] x SUM([17]:[22])</v>
      </c>
      <c r="H53" s="168" t="str">
        <f t="shared" si="5"/>
        <v/>
      </c>
      <c r="I53" s="154"/>
      <c r="J53" s="154"/>
      <c r="K53" s="153">
        <f>$H10*SUM(K45,K48:K52)</f>
        <v>35782600</v>
      </c>
      <c r="L53" s="153">
        <f>$H10*SUM(L45,L48:L52)</f>
        <v>34345100</v>
      </c>
      <c r="M53" s="153">
        <f>$H10*SUM(M45,M48:M52)</f>
        <v>34419200</v>
      </c>
      <c r="N53" s="153">
        <f>$H10*SUM(N45,N48:N52)</f>
        <v>34933700</v>
      </c>
      <c r="O53" s="153">
        <f>$H10*SUM(O45,O48:O52)</f>
        <v>38589687.5</v>
      </c>
      <c r="P53" s="356"/>
      <c r="Q53" s="328"/>
      <c r="R53" s="153">
        <f>$H10*SUM(R45,R48:R52)</f>
        <v>36202111.852281772</v>
      </c>
      <c r="S53" s="153">
        <f>$H10*SUM(S45,S48:S52)</f>
        <v>34725336.712208912</v>
      </c>
      <c r="T53" s="153">
        <f>$H10*SUM(T45,T48:T52)</f>
        <v>34801461.26029893</v>
      </c>
      <c r="U53" s="153">
        <f>$H10*SUM(U45,U48:U52)</f>
        <v>35330018.34521544</v>
      </c>
      <c r="V53" s="153">
        <f>$H10*SUM(V45,V48:V52)</f>
        <v>39051010.732135363</v>
      </c>
      <c r="W53" s="153"/>
      <c r="X53" s="156"/>
      <c r="Y53" s="79"/>
      <c r="Z53" s="214" t="str">
        <f>'S&amp;L CC+CT - Capital Costs'!$D31</f>
        <v>EPC Contractor Fee</v>
      </c>
      <c r="AA53" s="214"/>
      <c r="AB53" s="129" t="s">
        <v>338</v>
      </c>
    </row>
    <row r="54" spans="1:28" s="152" customFormat="1" ht="15" customHeight="1" x14ac:dyDescent="0.35">
      <c r="A54" s="313">
        <f>MAX($A$9:A53)+1</f>
        <v>24</v>
      </c>
      <c r="D54" s="215" t="str">
        <f t="shared" si="2"/>
        <v>EPC Contingency</v>
      </c>
      <c r="E54" s="152" t="s">
        <v>42</v>
      </c>
      <c r="F54" s="213" t="str">
        <f t="shared" si="4"/>
        <v>[24]</v>
      </c>
      <c r="G54" s="168" t="str">
        <f>F11&amp;" x SUM("&amp;$F$45&amp;":"&amp;$F53&amp;")"</f>
        <v>[3] x SUM([17]:[23])</v>
      </c>
      <c r="H54" s="168" t="str">
        <f t="shared" si="5"/>
        <v/>
      </c>
      <c r="I54" s="160"/>
      <c r="J54" s="160"/>
      <c r="K54" s="153">
        <f>$H11*SUM(K45,K48:K53)</f>
        <v>39360860</v>
      </c>
      <c r="L54" s="153">
        <f>$H11*SUM(L45,L48:L53)</f>
        <v>37779610</v>
      </c>
      <c r="M54" s="153">
        <f>$H11*SUM(M45,M48:M53)</f>
        <v>37861120</v>
      </c>
      <c r="N54" s="153">
        <f>$H11*SUM(N45,N48:N53)</f>
        <v>38427070</v>
      </c>
      <c r="O54" s="153">
        <f>$H11*SUM(O45,O48:O53)</f>
        <v>42448656.25</v>
      </c>
      <c r="P54" s="356"/>
      <c r="Q54" s="357"/>
      <c r="R54" s="153">
        <f>$H11*SUM(R45,R48:R53)</f>
        <v>39822323.037509948</v>
      </c>
      <c r="S54" s="153">
        <f>$H11*SUM(S45,S48:S53)</f>
        <v>38197870.383429803</v>
      </c>
      <c r="T54" s="153">
        <f>$H11*SUM(T45,T48:T53)</f>
        <v>38281607.386328824</v>
      </c>
      <c r="U54" s="153">
        <f>$H11*SUM(U45,U48:U53)</f>
        <v>38863020.179736987</v>
      </c>
      <c r="V54" s="153">
        <f>$H11*SUM(V45,V48:V53)</f>
        <v>42956111.805348903</v>
      </c>
      <c r="W54" s="153"/>
      <c r="X54" s="156"/>
      <c r="Y54" s="79"/>
      <c r="Z54" s="214" t="str">
        <f>'S&amp;L CC+CT - Capital Costs'!$D32</f>
        <v>EPC Contingency</v>
      </c>
      <c r="AA54" s="214"/>
      <c r="AB54" s="129" t="s">
        <v>338</v>
      </c>
    </row>
    <row r="55" spans="1:28" s="152" customFormat="1" ht="15" customHeight="1" x14ac:dyDescent="0.35">
      <c r="A55" s="313">
        <f>MAX($A$9:A54)+1</f>
        <v>25</v>
      </c>
      <c r="D55" s="1019" t="str">
        <f t="shared" si="2"/>
        <v>Total EPC Costs</v>
      </c>
      <c r="E55" s="162"/>
      <c r="F55" s="243" t="str">
        <f t="shared" si="4"/>
        <v>[25]</v>
      </c>
      <c r="G55" s="2129" t="str">
        <f>"SUM("&amp;$F$48&amp;":"&amp;$F$54&amp;")"</f>
        <v>SUM([18]:[24])</v>
      </c>
      <c r="H55" s="1582" t="str">
        <f t="shared" si="5"/>
        <v/>
      </c>
      <c r="I55" s="170"/>
      <c r="J55" s="170"/>
      <c r="K55" s="164">
        <f>IFERROR(SUM(K48:K54),0)</f>
        <v>221969460</v>
      </c>
      <c r="L55" s="164">
        <f>IFERROR(SUM(L48:L54),0)</f>
        <v>204575710</v>
      </c>
      <c r="M55" s="164">
        <f>IFERROR(SUM(M48:M54),0)</f>
        <v>205472320</v>
      </c>
      <c r="N55" s="164">
        <f>IFERROR(SUM(N48:N54),0)</f>
        <v>211697770</v>
      </c>
      <c r="O55" s="164">
        <f>IFERROR(SUM(O48:O54),0)</f>
        <v>242747718.75</v>
      </c>
      <c r="P55" s="358"/>
      <c r="Q55" s="930"/>
      <c r="R55" s="164">
        <f>IFERROR(SUM(R48:R54),0)</f>
        <v>226095494.37199366</v>
      </c>
      <c r="S55" s="164">
        <f>IFERROR(SUM(S48:S54),0)</f>
        <v>208226515.17711201</v>
      </c>
      <c r="T55" s="164">
        <f>IFERROR(SUM(T48:T54),0)</f>
        <v>209147622.20900121</v>
      </c>
      <c r="U55" s="164">
        <f>IFERROR(SUM(U48:U54),0)</f>
        <v>215543162.93649101</v>
      </c>
      <c r="V55" s="164">
        <f>IFERROR(SUM(V48:V54),0)</f>
        <v>247320292.12818348</v>
      </c>
      <c r="W55" s="153"/>
      <c r="X55" s="156"/>
      <c r="Y55" s="79"/>
      <c r="Z55" s="214" t="str">
        <f>'S&amp;L CC+CT - Capital Costs'!$D33</f>
        <v>Total EPC Costs</v>
      </c>
      <c r="AA55" s="214"/>
      <c r="AB55" s="48"/>
    </row>
    <row r="56" spans="1:28" s="152" customFormat="1" ht="6" customHeight="1" x14ac:dyDescent="0.35">
      <c r="A56" s="313"/>
      <c r="D56" s="291"/>
      <c r="E56" s="313"/>
      <c r="F56" s="213"/>
      <c r="H56" s="168"/>
      <c r="I56" s="154"/>
      <c r="J56" s="154"/>
      <c r="K56" s="153"/>
      <c r="L56" s="153"/>
      <c r="M56" s="153"/>
      <c r="N56" s="153"/>
      <c r="O56" s="153"/>
      <c r="P56" s="356"/>
      <c r="Q56" s="328"/>
      <c r="R56" s="153"/>
      <c r="S56" s="153"/>
      <c r="T56" s="153"/>
      <c r="U56" s="153"/>
      <c r="V56" s="153"/>
      <c r="W56" s="153"/>
      <c r="X56" s="156"/>
      <c r="Y56" s="79"/>
      <c r="Z56" s="214"/>
      <c r="AA56" s="214"/>
      <c r="AB56" s="48"/>
    </row>
    <row r="57" spans="1:28" s="152" customFormat="1" ht="15" customHeight="1" x14ac:dyDescent="0.35">
      <c r="A57" s="313">
        <f>MAX($A$9:A55)+1</f>
        <v>26</v>
      </c>
      <c r="D57" s="1788" t="str">
        <f t="shared" si="2"/>
        <v>Total Project Costs</v>
      </c>
      <c r="E57" s="1788" t="s">
        <v>42</v>
      </c>
      <c r="F57" s="1789" t="str">
        <f t="shared" si="4"/>
        <v>[26]</v>
      </c>
      <c r="G57" s="1788" t="str">
        <f>F45&amp;" + "&amp;F55</f>
        <v>[17] + [25]</v>
      </c>
      <c r="H57" s="1795"/>
      <c r="I57" s="1795"/>
      <c r="J57" s="1795"/>
      <c r="K57" s="1792">
        <f>K55+K45</f>
        <v>432969460</v>
      </c>
      <c r="L57" s="1792">
        <f>L55+L45</f>
        <v>415575710</v>
      </c>
      <c r="M57" s="1792">
        <f>M55+M45</f>
        <v>416472320</v>
      </c>
      <c r="N57" s="1792">
        <f>N55+N45</f>
        <v>422697770</v>
      </c>
      <c r="O57" s="1792">
        <f>O55+O45</f>
        <v>466935218.75</v>
      </c>
      <c r="P57" s="1793"/>
      <c r="Q57" s="1800"/>
      <c r="R57" s="1792">
        <f>R55+R45</f>
        <v>438045553.41260946</v>
      </c>
      <c r="S57" s="1792">
        <f>S55+S45</f>
        <v>420176574.21772784</v>
      </c>
      <c r="T57" s="1842">
        <f>T55+T45</f>
        <v>421097681.24961704</v>
      </c>
      <c r="U57" s="1792">
        <f>U55+U45</f>
        <v>427493221.97710681</v>
      </c>
      <c r="V57" s="1792">
        <f>V55+V45</f>
        <v>472517229.85883784</v>
      </c>
      <c r="W57" s="153"/>
      <c r="X57" s="156"/>
      <c r="Y57" s="79"/>
      <c r="Z57" s="214" t="str">
        <f>'S&amp;L CC+CT - Capital Costs'!$D35</f>
        <v>Total Project Costs</v>
      </c>
      <c r="AA57" s="214"/>
      <c r="AB57" s="48"/>
    </row>
    <row r="58" spans="1:28" s="152" customFormat="1" ht="6" customHeight="1" x14ac:dyDescent="0.35">
      <c r="D58" s="159"/>
      <c r="E58" s="155"/>
      <c r="F58" s="155"/>
      <c r="G58" s="155"/>
      <c r="H58" s="159"/>
      <c r="I58" s="204"/>
      <c r="J58" s="204"/>
      <c r="K58" s="159"/>
      <c r="L58" s="159"/>
      <c r="M58" s="159"/>
      <c r="N58" s="159"/>
      <c r="O58" s="159"/>
      <c r="P58" s="246"/>
      <c r="Q58" s="204"/>
      <c r="R58" s="159"/>
      <c r="S58" s="159"/>
      <c r="T58" s="159"/>
      <c r="U58" s="159"/>
      <c r="V58" s="159"/>
      <c r="W58" s="246"/>
      <c r="X58" s="156"/>
      <c r="Y58" s="79"/>
      <c r="Z58" s="214"/>
      <c r="AA58" s="214"/>
      <c r="AB58" s="48"/>
    </row>
    <row r="59" spans="1:28" s="152" customFormat="1" ht="6" customHeight="1" x14ac:dyDescent="0.35">
      <c r="D59" s="313"/>
      <c r="H59" s="313"/>
      <c r="I59" s="204"/>
      <c r="J59" s="204"/>
      <c r="K59" s="313"/>
      <c r="L59" s="313"/>
      <c r="M59" s="313"/>
      <c r="N59" s="313"/>
      <c r="O59" s="313"/>
      <c r="P59" s="246"/>
      <c r="Q59" s="204"/>
      <c r="R59" s="313"/>
      <c r="S59" s="313"/>
      <c r="T59" s="313"/>
      <c r="U59" s="313"/>
      <c r="V59" s="313"/>
      <c r="W59" s="313"/>
      <c r="X59" s="156"/>
      <c r="Y59" s="79"/>
      <c r="Z59" s="214"/>
      <c r="AA59" s="214"/>
      <c r="AB59" s="48"/>
    </row>
    <row r="60" spans="1:28" s="152" customFormat="1" ht="15" customHeight="1" x14ac:dyDescent="0.35">
      <c r="D60" s="162" t="s">
        <v>107</v>
      </c>
      <c r="F60" s="213"/>
      <c r="H60" s="313"/>
      <c r="I60" s="204"/>
      <c r="J60" s="204"/>
      <c r="K60" s="153"/>
      <c r="L60" s="153"/>
      <c r="M60" s="153"/>
      <c r="N60" s="153"/>
      <c r="O60" s="153"/>
      <c r="P60" s="356"/>
      <c r="Q60" s="204"/>
      <c r="R60" s="313"/>
      <c r="S60" s="313"/>
      <c r="T60" s="313"/>
      <c r="U60" s="313"/>
      <c r="V60" s="313"/>
      <c r="W60" s="313"/>
      <c r="X60" s="156"/>
      <c r="Y60" s="79"/>
      <c r="Z60" s="214"/>
      <c r="AA60" s="214"/>
      <c r="AB60" s="48"/>
    </row>
    <row r="61" spans="1:28" s="152" customFormat="1" ht="15" customHeight="1" x14ac:dyDescent="0.35">
      <c r="A61" s="313">
        <f>MAX($A$9:A60)+1</f>
        <v>27</v>
      </c>
      <c r="D61" s="215" t="str">
        <f t="shared" ref="D61:D70" si="7">Z61</f>
        <v>Project Development</v>
      </c>
      <c r="E61" s="152" t="s">
        <v>42</v>
      </c>
      <c r="F61" s="213" t="str">
        <f t="shared" ref="F61:F71" si="8">"["&amp;A61&amp;"]"</f>
        <v>[27]</v>
      </c>
      <c r="G61" s="230" t="str">
        <f>F12&amp;" x "&amp;F57</f>
        <v>[4] x [26]</v>
      </c>
      <c r="H61" s="168"/>
      <c r="I61" s="357"/>
      <c r="J61" s="357"/>
      <c r="K61" s="276">
        <f>$H$12*K$57</f>
        <v>21648473</v>
      </c>
      <c r="L61" s="276">
        <f>$H$12*L$57</f>
        <v>20778785.5</v>
      </c>
      <c r="M61" s="276">
        <f>$H$12*M$57</f>
        <v>20823616</v>
      </c>
      <c r="N61" s="276">
        <f>$H$12*N$57</f>
        <v>21134888.5</v>
      </c>
      <c r="O61" s="276">
        <f>$H$12*O$57</f>
        <v>23346760.9375</v>
      </c>
      <c r="P61" s="356"/>
      <c r="Q61" s="357"/>
      <c r="R61" s="276">
        <f>$H$12*R$57</f>
        <v>21902277.670630474</v>
      </c>
      <c r="S61" s="276">
        <f>$H$12*S$57</f>
        <v>21008828.710886393</v>
      </c>
      <c r="T61" s="276">
        <f>$H$12*T$57</f>
        <v>21054884.062480852</v>
      </c>
      <c r="U61" s="276">
        <f>$H$12*U$57</f>
        <v>21374661.098855343</v>
      </c>
      <c r="V61" s="276">
        <f>$H$12*V$57</f>
        <v>23625861.492941894</v>
      </c>
      <c r="W61" s="153"/>
      <c r="X61" s="156"/>
      <c r="Y61" s="79"/>
      <c r="Z61" s="214" t="str">
        <f>'S&amp;L CC+CT - Capital Costs'!$D40</f>
        <v>Project Development</v>
      </c>
      <c r="AA61" s="219" t="s">
        <v>515</v>
      </c>
      <c r="AB61" s="129" t="s">
        <v>338</v>
      </c>
    </row>
    <row r="62" spans="1:28" s="152" customFormat="1" ht="15" customHeight="1" x14ac:dyDescent="0.35">
      <c r="A62" s="313">
        <f>MAX($A$9:A61)+1</f>
        <v>28</v>
      </c>
      <c r="D62" s="215" t="str">
        <f t="shared" si="7"/>
        <v>Mobilization and Start-Up</v>
      </c>
      <c r="E62" s="152" t="s">
        <v>42</v>
      </c>
      <c r="F62" s="213" t="str">
        <f t="shared" si="8"/>
        <v>[28]</v>
      </c>
      <c r="G62" s="313" t="str">
        <f>F13&amp;" x "&amp;F57</f>
        <v>[5] x [26]</v>
      </c>
      <c r="H62" s="168"/>
      <c r="I62" s="357"/>
      <c r="J62" s="357"/>
      <c r="K62" s="276">
        <f>$H$13*K$57</f>
        <v>4329694.5999999996</v>
      </c>
      <c r="L62" s="276">
        <f>$H$13*L$57</f>
        <v>4155757.1</v>
      </c>
      <c r="M62" s="276">
        <f>$H$13*M$57</f>
        <v>4164723.2</v>
      </c>
      <c r="N62" s="276">
        <f>$H$13*N$57</f>
        <v>4226977.7</v>
      </c>
      <c r="O62" s="276">
        <f>$H$13*O$57</f>
        <v>4669352.1875</v>
      </c>
      <c r="P62" s="356"/>
      <c r="Q62" s="357"/>
      <c r="R62" s="276">
        <f>$H$13*R$57</f>
        <v>4380455.5341260945</v>
      </c>
      <c r="S62" s="276">
        <f>$H$13*S$57</f>
        <v>4201765.7421772787</v>
      </c>
      <c r="T62" s="276">
        <f>$H$13*T$57</f>
        <v>4210976.8124961704</v>
      </c>
      <c r="U62" s="276">
        <f>$H$13*U$57</f>
        <v>4274932.2197710685</v>
      </c>
      <c r="V62" s="276">
        <f>$H$13*V$57</f>
        <v>4725172.2985883784</v>
      </c>
      <c r="W62" s="153"/>
      <c r="X62" s="156"/>
      <c r="Y62" s="79"/>
      <c r="Z62" s="214" t="str">
        <f>'S&amp;L CC+CT - Capital Costs'!$D41</f>
        <v>Mobilization and Start-Up</v>
      </c>
      <c r="AA62" s="219" t="s">
        <v>515</v>
      </c>
      <c r="AB62" s="129" t="s">
        <v>338</v>
      </c>
    </row>
    <row r="63" spans="1:28" s="152" customFormat="1" ht="15" customHeight="1" x14ac:dyDescent="0.35">
      <c r="A63" s="313">
        <f>MAX($A$9:A62)+1</f>
        <v>29</v>
      </c>
      <c r="D63" s="215" t="str">
        <f t="shared" si="7"/>
        <v>Non-Fuel Inventories</v>
      </c>
      <c r="E63" s="152" t="s">
        <v>42</v>
      </c>
      <c r="F63" s="213" t="str">
        <f t="shared" si="8"/>
        <v>[29]</v>
      </c>
      <c r="G63" s="313" t="str">
        <f>F14&amp;" x "&amp;F57</f>
        <v>[6] x [26]</v>
      </c>
      <c r="H63" s="168" t="str">
        <f>IF($AA63=$Z$2,$H$19,IF($AA63=$Z$3, $H$20, ""))</f>
        <v/>
      </c>
      <c r="I63" s="328"/>
      <c r="J63" s="328"/>
      <c r="K63" s="276">
        <f>$H$14*K$57</f>
        <v>2164847.2999999998</v>
      </c>
      <c r="L63" s="276">
        <f>$H$14*L$57</f>
        <v>2077878.55</v>
      </c>
      <c r="M63" s="276">
        <f>$H$14*M$57</f>
        <v>2082361.6</v>
      </c>
      <c r="N63" s="276">
        <f>$H$14*N$57</f>
        <v>2113488.85</v>
      </c>
      <c r="O63" s="276">
        <f>$H$14*O$57</f>
        <v>2334676.09375</v>
      </c>
      <c r="P63" s="356"/>
      <c r="Q63" s="328"/>
      <c r="R63" s="276">
        <f>$H$14*R$57</f>
        <v>2190227.7670630473</v>
      </c>
      <c r="S63" s="276">
        <f>$H$14*S$57</f>
        <v>2100882.8710886394</v>
      </c>
      <c r="T63" s="276">
        <f>$H$14*T$57</f>
        <v>2105488.4062480852</v>
      </c>
      <c r="U63" s="276">
        <f>$H$14*U$57</f>
        <v>2137466.1098855343</v>
      </c>
      <c r="V63" s="276">
        <f>$H$14*V$57</f>
        <v>2362586.1492941892</v>
      </c>
      <c r="W63" s="153"/>
      <c r="X63" s="156"/>
      <c r="Y63" s="79"/>
      <c r="Z63" s="214" t="str">
        <f>'S&amp;L CC+CT - Capital Costs'!$D42</f>
        <v>Non-Fuel Inventories</v>
      </c>
      <c r="AA63" s="214"/>
      <c r="AB63" s="129" t="s">
        <v>338</v>
      </c>
    </row>
    <row r="64" spans="1:28" s="313" customFormat="1" ht="15" customHeight="1" x14ac:dyDescent="0.35">
      <c r="A64" s="313">
        <f>MAX($A$9:A63)+1</f>
        <v>30</v>
      </c>
      <c r="D64" s="215" t="str">
        <f t="shared" si="7"/>
        <v>Net Start-Up Fuel Costs</v>
      </c>
      <c r="E64" s="313" t="s">
        <v>42</v>
      </c>
      <c r="F64" s="312" t="str">
        <f t="shared" si="8"/>
        <v>[30]</v>
      </c>
      <c r="G64" s="313" t="s">
        <v>39</v>
      </c>
      <c r="H64" s="168"/>
      <c r="I64" s="328"/>
      <c r="J64" s="328"/>
      <c r="K64" s="153">
        <f>R64/(1+$H$21)</f>
        <v>-1049955.3729015989</v>
      </c>
      <c r="L64" s="153">
        <f>S64/(1+$H$21)</f>
        <v>14552.346407057676</v>
      </c>
      <c r="M64" s="153">
        <f>T64/(1+$H$21)</f>
        <v>-1565039.1345485072</v>
      </c>
      <c r="N64" s="153">
        <f>U64/(1+$H$21)</f>
        <v>-2600346.7051844653</v>
      </c>
      <c r="O64" s="153">
        <f>V64/(1+$H$21)</f>
        <v>1042527.2200653409</v>
      </c>
      <c r="P64" s="356"/>
      <c r="Q64" s="328"/>
      <c r="R64" s="276">
        <f>INDEX('S&amp;L CC+CT - Capital Costs'!$G$16:$K$56,MATCH($Z64,'S&amp;L CC+CT - Capital Costs'!$D$16:$D$56,0),MATCH(R$31,'S&amp;L CC+CT - Capital Costs'!$G$8:$K$8,0))</f>
        <v>-1143747.0660349019</v>
      </c>
      <c r="S64" s="276">
        <f>INDEX('S&amp;L CC+CT - Capital Costs'!$G$16:$K$56,MATCH($Z64,'S&amp;L CC+CT - Capital Costs'!$D$16:$D$56,0),MATCH(S$31,'S&amp;L CC+CT - Capital Costs'!$G$8:$K$8,0))</f>
        <v>15852.296141881496</v>
      </c>
      <c r="T64" s="276">
        <f>INDEX('S&amp;L CC+CT - Capital Costs'!$G$16:$K$56,MATCH($Z64,'S&amp;L CC+CT - Capital Costs'!$D$16:$D$56,0),MATCH(T$31,'S&amp;L CC+CT - Capital Costs'!$G$8:$K$8,0))</f>
        <v>-1704842.8576758336</v>
      </c>
      <c r="U64" s="276">
        <f>INDEX('S&amp;L CC+CT - Capital Costs'!$G$16:$K$56,MATCH($Z64,'S&amp;L CC+CT - Capital Costs'!$D$16:$D$56,0),MATCH(U$31,'S&amp;L CC+CT - Capital Costs'!$G$8:$K$8,0))</f>
        <v>-2832633.6447130032</v>
      </c>
      <c r="V64" s="276">
        <f>INDEX('S&amp;L CC+CT - Capital Costs'!$G$16:$K$56,MATCH($Z64,'S&amp;L CC+CT - Capital Costs'!$D$16:$D$56,0),MATCH(V$31,'S&amp;L CC+CT - Capital Costs'!$G$8:$K$8,0))</f>
        <v>1135655.3621093817</v>
      </c>
      <c r="W64" s="153"/>
      <c r="X64" s="153"/>
      <c r="Y64" s="144"/>
      <c r="Z64" s="214" t="str">
        <f>'S&amp;L CC+CT - Capital Costs'!$D45</f>
        <v>Net Start-Up Fuel Costs</v>
      </c>
      <c r="AA64" s="219" t="s">
        <v>515</v>
      </c>
      <c r="AB64" s="129" t="s">
        <v>338</v>
      </c>
    </row>
    <row r="65" spans="1:28" s="152" customFormat="1" ht="15" customHeight="1" x14ac:dyDescent="0.35">
      <c r="A65" s="313">
        <f>MAX($A$9:A64)+1</f>
        <v>31</v>
      </c>
      <c r="D65" s="215" t="str">
        <f t="shared" si="7"/>
        <v>Electrical Interconnection</v>
      </c>
      <c r="E65" s="152" t="s">
        <v>42</v>
      </c>
      <c r="F65" s="213" t="str">
        <f t="shared" si="8"/>
        <v>[31]</v>
      </c>
      <c r="G65" s="313" t="str">
        <f>'S&amp;L CC+CT - Capital Costs'!$D$3</f>
        <v>Table C8</v>
      </c>
      <c r="H65" s="168">
        <f>IF($AA65=$Z$2,$H$19,IF($AA65=$Z$3, $H$20, ""))</f>
        <v>2.732183657242615E-2</v>
      </c>
      <c r="I65" s="204"/>
      <c r="J65" s="204"/>
      <c r="K65" s="153">
        <f>INDEX('S&amp;L CC+CT - Capital Costs'!$G$16:$K$56,MATCH($Z65,'S&amp;L CC+CT - Capital Costs'!$D$16:$D$56,0),MATCH(K$31,'S&amp;L CC+CT - Capital Costs'!$G$8:$K$8,0))</f>
        <v>21416126.504321642</v>
      </c>
      <c r="L65" s="153">
        <f>INDEX('S&amp;L CC+CT - Capital Costs'!$G$16:$K$56,MATCH($Z65,'S&amp;L CC+CT - Capital Costs'!$D$16:$D$56,0),MATCH(L$31,'S&amp;L CC+CT - Capital Costs'!$G$8:$K$8,0))</f>
        <v>21565028.018407833</v>
      </c>
      <c r="M65" s="153">
        <f>INDEX('S&amp;L CC+CT - Capital Costs'!$G$16:$K$56,MATCH($Z65,'S&amp;L CC+CT - Capital Costs'!$D$16:$D$56,0),MATCH(M$31,'S&amp;L CC+CT - Capital Costs'!$G$8:$K$8,0))</f>
        <v>21135870.240474395</v>
      </c>
      <c r="N65" s="153">
        <f>INDEX('S&amp;L CC+CT - Capital Costs'!$G$16:$K$56,MATCH($Z65,'S&amp;L CC+CT - Capital Costs'!$D$16:$D$56,0),MATCH(N$31,'S&amp;L CC+CT - Capital Costs'!$G$8:$K$8,0))</f>
        <v>20931376.641283341</v>
      </c>
      <c r="O65" s="153">
        <f>INDEX('S&amp;L CC+CT - Capital Costs'!$G$16:$K$56,MATCH($Z65,'S&amp;L CC+CT - Capital Costs'!$D$16:$D$56,0),MATCH(O$31,'S&amp;L CC+CT - Capital Costs'!$G$8:$K$8,0))</f>
        <v>21457014.291596413</v>
      </c>
      <c r="P65" s="356"/>
      <c r="Q65" s="357"/>
      <c r="R65" s="276">
        <f t="shared" ref="R65:V67" si="9">K65*(1+$H65)</f>
        <v>22001254.412687123</v>
      </c>
      <c r="S65" s="276">
        <f t="shared" si="9"/>
        <v>22154224.189606562</v>
      </c>
      <c r="T65" s="276">
        <f t="shared" si="9"/>
        <v>21713341.033000641</v>
      </c>
      <c r="U65" s="276">
        <f t="shared" si="9"/>
        <v>21503260.293112382</v>
      </c>
      <c r="V65" s="276">
        <f t="shared" si="9"/>
        <v>22043259.329403624</v>
      </c>
      <c r="W65" s="153"/>
      <c r="X65" s="156"/>
      <c r="Y65" s="79"/>
      <c r="Z65" s="214" t="str">
        <f>'S&amp;L CC+CT - Capital Costs'!$D46</f>
        <v>Electrical Interconnection</v>
      </c>
      <c r="AA65" s="219" t="s">
        <v>515</v>
      </c>
      <c r="AB65" s="129" t="s">
        <v>338</v>
      </c>
    </row>
    <row r="66" spans="1:28" s="152" customFormat="1" ht="15" customHeight="1" x14ac:dyDescent="0.35">
      <c r="A66" s="313">
        <f>MAX($A$9:A65)+1</f>
        <v>32</v>
      </c>
      <c r="D66" s="215" t="str">
        <f t="shared" si="7"/>
        <v>Gas Interconnection</v>
      </c>
      <c r="E66" s="152" t="s">
        <v>42</v>
      </c>
      <c r="F66" s="213" t="str">
        <f t="shared" si="8"/>
        <v>[32]</v>
      </c>
      <c r="G66" s="313" t="str">
        <f>'S&amp;L CC+CT - Capital Costs'!$D$3</f>
        <v>Table C8</v>
      </c>
      <c r="H66" s="168">
        <f>IF($AA66=$Z$2,$H$19,IF($AA66=$Z$3, $H$20, ""))</f>
        <v>2.732183657242615E-2</v>
      </c>
      <c r="I66" s="204"/>
      <c r="J66" s="204"/>
      <c r="K66" s="153">
        <f>INDEX('S&amp;L CC+CT - Capital Costs'!$G$16:$K$56,MATCH($Z66,'S&amp;L CC+CT - Capital Costs'!$D$16:$D$56,0),MATCH(K$31,'S&amp;L CC+CT - Capital Costs'!$G$8:$K$8,0))</f>
        <v>34520407.784554124</v>
      </c>
      <c r="L66" s="153">
        <f>INDEX('S&amp;L CC+CT - Capital Costs'!$G$16:$K$56,MATCH($Z66,'S&amp;L CC+CT - Capital Costs'!$D$16:$D$56,0),MATCH(L$31,'S&amp;L CC+CT - Capital Costs'!$G$8:$K$8,0))</f>
        <v>34520407.784554124</v>
      </c>
      <c r="M66" s="153">
        <f>INDEX('S&amp;L CC+CT - Capital Costs'!$G$16:$K$56,MATCH($Z66,'S&amp;L CC+CT - Capital Costs'!$D$16:$D$56,0),MATCH(M$31,'S&amp;L CC+CT - Capital Costs'!$G$8:$K$8,0))</f>
        <v>34520407.784554124</v>
      </c>
      <c r="N66" s="153">
        <f>INDEX('S&amp;L CC+CT - Capital Costs'!$G$16:$K$56,MATCH($Z66,'S&amp;L CC+CT - Capital Costs'!$D$16:$D$56,0),MATCH(N$31,'S&amp;L CC+CT - Capital Costs'!$G$8:$K$8,0))</f>
        <v>34520407.784554124</v>
      </c>
      <c r="O66" s="153">
        <f>INDEX('S&amp;L CC+CT - Capital Costs'!$G$16:$K$56,MATCH($Z66,'S&amp;L CC+CT - Capital Costs'!$D$16:$D$56,0),MATCH(O$31,'S&amp;L CC+CT - Capital Costs'!$G$8:$K$8,0))</f>
        <v>34520407.784554124</v>
      </c>
      <c r="P66" s="356"/>
      <c r="Q66" s="357"/>
      <c r="R66" s="276">
        <f t="shared" si="9"/>
        <v>35463568.724457219</v>
      </c>
      <c r="S66" s="276">
        <f t="shared" si="9"/>
        <v>35463568.724457219</v>
      </c>
      <c r="T66" s="276">
        <f t="shared" si="9"/>
        <v>35463568.724457219</v>
      </c>
      <c r="U66" s="276">
        <f t="shared" si="9"/>
        <v>35463568.724457219</v>
      </c>
      <c r="V66" s="276">
        <f t="shared" si="9"/>
        <v>35463568.724457219</v>
      </c>
      <c r="W66" s="153"/>
      <c r="X66" s="156"/>
      <c r="Y66" s="79"/>
      <c r="Z66" s="214" t="str">
        <f>'S&amp;L CC+CT - Capital Costs'!$D47</f>
        <v>Gas Interconnection</v>
      </c>
      <c r="AA66" s="219" t="s">
        <v>515</v>
      </c>
      <c r="AB66" s="129" t="s">
        <v>338</v>
      </c>
    </row>
    <row r="67" spans="1:28" s="152" customFormat="1" ht="15" customHeight="1" x14ac:dyDescent="0.35">
      <c r="A67" s="313">
        <f>MAX($A$9:A66)+1</f>
        <v>33</v>
      </c>
      <c r="D67" s="215" t="str">
        <f t="shared" si="7"/>
        <v>Land</v>
      </c>
      <c r="E67" s="152" t="s">
        <v>42</v>
      </c>
      <c r="F67" s="213" t="str">
        <f t="shared" si="8"/>
        <v>[33]</v>
      </c>
      <c r="G67" s="313" t="str">
        <f>'S&amp;L CC+CT - Capital Costs'!$D$3</f>
        <v>Table C8</v>
      </c>
      <c r="H67" s="168">
        <f>IF($AA67=$Z$2,$H$19,IF($AA67=$Z$3, $H$20, ""))</f>
        <v>2.732183657242615E-2</v>
      </c>
      <c r="I67" s="204"/>
      <c r="J67" s="204"/>
      <c r="K67" s="153">
        <f>INDEX('S&amp;L CC+CT - Capital Costs'!$G$16:$K$56,MATCH($Z67,'S&amp;L CC+CT - Capital Costs'!$D$16:$D$56,0),MATCH(K$31,'S&amp;L CC+CT - Capital Costs'!$G$8:$K$8,0))</f>
        <v>1064168.542939852</v>
      </c>
      <c r="L67" s="153">
        <f>INDEX('S&amp;L CC+CT - Capital Costs'!$G$16:$K$56,MATCH($Z67,'S&amp;L CC+CT - Capital Costs'!$D$16:$D$56,0),MATCH(L$31,'S&amp;L CC+CT - Capital Costs'!$G$8:$K$8,0))</f>
        <v>1001816.6089965397</v>
      </c>
      <c r="M67" s="153">
        <f>INDEX('S&amp;L CC+CT - Capital Costs'!$G$16:$K$56,MATCH($Z67,'S&amp;L CC+CT - Capital Costs'!$D$16:$D$56,0),MATCH(M$31,'S&amp;L CC+CT - Capital Costs'!$G$8:$K$8,0))</f>
        <v>430989.0725693471</v>
      </c>
      <c r="N67" s="153">
        <f>INDEX('S&amp;L CC+CT - Capital Costs'!$G$16:$K$56,MATCH($Z67,'S&amp;L CC+CT - Capital Costs'!$D$16:$D$56,0),MATCH(N$31,'S&amp;L CC+CT - Capital Costs'!$G$8:$K$8,0))</f>
        <v>918266.35090896441</v>
      </c>
      <c r="O67" s="153">
        <f>INDEX('S&amp;L CC+CT - Capital Costs'!$G$16:$K$56,MATCH($Z67,'S&amp;L CC+CT - Capital Costs'!$D$16:$D$56,0),MATCH(O$31,'S&amp;L CC+CT - Capital Costs'!$G$8:$K$8,0))</f>
        <v>1179242.104157917</v>
      </c>
      <c r="P67" s="356"/>
      <c r="Q67" s="357"/>
      <c r="R67" s="276">
        <f t="shared" si="9"/>
        <v>1093243.5819555714</v>
      </c>
      <c r="S67" s="276">
        <f t="shared" si="9"/>
        <v>1029188.0786630854</v>
      </c>
      <c r="T67" s="276">
        <f t="shared" si="9"/>
        <v>442764.4855745883</v>
      </c>
      <c r="U67" s="276">
        <f t="shared" si="9"/>
        <v>943355.0740784572</v>
      </c>
      <c r="V67" s="276">
        <f t="shared" si="9"/>
        <v>1211461.1642070436</v>
      </c>
      <c r="W67" s="153"/>
      <c r="X67" s="156"/>
      <c r="Y67" s="79"/>
      <c r="Z67" s="214" t="str">
        <f>'S&amp;L CC+CT - Capital Costs'!$D48</f>
        <v>Land</v>
      </c>
      <c r="AA67" s="219" t="s">
        <v>515</v>
      </c>
      <c r="AB67" s="129" t="s">
        <v>337</v>
      </c>
    </row>
    <row r="68" spans="1:28" s="152" customFormat="1" ht="15" customHeight="1" x14ac:dyDescent="0.35">
      <c r="A68" s="313">
        <f>MAX($A$9:A67)+1</f>
        <v>34</v>
      </c>
      <c r="D68" s="215" t="str">
        <f t="shared" si="7"/>
        <v>Fuel Inventories</v>
      </c>
      <c r="E68" s="152" t="s">
        <v>42</v>
      </c>
      <c r="F68" s="213" t="str">
        <f t="shared" si="8"/>
        <v>[34]</v>
      </c>
      <c r="G68" s="313" t="s">
        <v>39</v>
      </c>
      <c r="H68" s="168"/>
      <c r="I68" s="204"/>
      <c r="J68" s="204"/>
      <c r="K68" s="153">
        <f>R68/(1+$H$21)</f>
        <v>3389608.2722932259</v>
      </c>
      <c r="L68" s="153">
        <f>S68/(1+$H$21)</f>
        <v>3410113.7167053618</v>
      </c>
      <c r="M68" s="153">
        <f>T68/(1+$H$21)</f>
        <v>3302993.8486819966</v>
      </c>
      <c r="N68" s="153">
        <f>U68/(1+$H$21)</f>
        <v>3281659.5431727008</v>
      </c>
      <c r="O68" s="153">
        <f>V68/(1+$H$21)</f>
        <v>3343565.6526520718</v>
      </c>
      <c r="P68" s="356"/>
      <c r="Q68" s="328"/>
      <c r="R68" s="153">
        <f>INDEX('S&amp;L CC+CT - Capital Costs'!$G$16:$K$56,MATCH($Z68,'S&amp;L CC+CT - Capital Costs'!$D$16:$D$56,0),MATCH(R$31,'S&amp;L CC+CT - Capital Costs'!$G$8:$K$8,0))</f>
        <v>3692399.3309631324</v>
      </c>
      <c r="S68" s="153">
        <f>INDEX('S&amp;L CC+CT - Capital Costs'!$G$16:$K$56,MATCH($Z68,'S&amp;L CC+CT - Capital Costs'!$D$16:$D$56,0),MATCH(S$31,'S&amp;L CC+CT - Capital Costs'!$G$8:$K$8,0))</f>
        <v>3714736.510703743</v>
      </c>
      <c r="T68" s="153">
        <f>INDEX('S&amp;L CC+CT - Capital Costs'!$G$16:$K$56,MATCH($Z68,'S&amp;L CC+CT - Capital Costs'!$D$16:$D$56,0),MATCH(T$31,'S&amp;L CC+CT - Capital Costs'!$G$8:$K$8,0))</f>
        <v>3598047.7085623853</v>
      </c>
      <c r="U68" s="153">
        <f>INDEX('S&amp;L CC+CT - Capital Costs'!$G$16:$K$56,MATCH($Z68,'S&amp;L CC+CT - Capital Costs'!$D$16:$D$56,0),MATCH(U$31,'S&amp;L CC+CT - Capital Costs'!$G$8:$K$8,0))</f>
        <v>3574807.6262103934</v>
      </c>
      <c r="V68" s="153">
        <f>INDEX('S&amp;L CC+CT - Capital Costs'!$G$16:$K$56,MATCH($Z68,'S&amp;L CC+CT - Capital Costs'!$D$16:$D$56,0),MATCH(V$31,'S&amp;L CC+CT - Capital Costs'!$G$8:$K$8,0))</f>
        <v>3642243.7600824395</v>
      </c>
      <c r="W68" s="153"/>
      <c r="X68" s="156"/>
      <c r="Y68" s="79"/>
      <c r="Z68" s="214" t="str">
        <f>'S&amp;L CC+CT - Capital Costs'!$D49</f>
        <v>Fuel Inventories</v>
      </c>
      <c r="AA68" s="219" t="s">
        <v>515</v>
      </c>
      <c r="AB68" s="129" t="s">
        <v>338</v>
      </c>
    </row>
    <row r="69" spans="1:28" s="152" customFormat="1" ht="15" customHeight="1" x14ac:dyDescent="0.35">
      <c r="A69" s="313">
        <f>MAX($A$9:A68)+1</f>
        <v>35</v>
      </c>
      <c r="D69" s="215" t="str">
        <f t="shared" si="7"/>
        <v>Owner's Contingency</v>
      </c>
      <c r="E69" s="152" t="s">
        <v>42</v>
      </c>
      <c r="F69" s="213" t="str">
        <f>"["&amp;A69&amp;"]"</f>
        <v>[35]</v>
      </c>
      <c r="G69" s="313" t="str">
        <f>$F$15&amp;" x SUM("&amp;$F$61&amp;":"&amp;$F$68&amp;")"</f>
        <v>[7] x SUM([27]:[34])</v>
      </c>
      <c r="H69" s="168" t="str">
        <f>IF($AA69=$Z$2,$H$19,IF($AA69=$Z$3, $H$20, ""))</f>
        <v/>
      </c>
      <c r="I69" s="328"/>
      <c r="J69" s="328"/>
      <c r="K69" s="153">
        <f>$H$15*SUM(K61:K68)</f>
        <v>6998669.6504965806</v>
      </c>
      <c r="L69" s="153">
        <f>$H$15*SUM(L61:L68)</f>
        <v>7001947.1700056735</v>
      </c>
      <c r="M69" s="153">
        <f>$H$15*SUM(M61:M68)</f>
        <v>6791673.8089385079</v>
      </c>
      <c r="N69" s="153">
        <f>$H$15*SUM(N61:N68)</f>
        <v>6762137.4931787746</v>
      </c>
      <c r="O69" s="153">
        <f>$H$15*SUM(O61:O68)</f>
        <v>7351483.7017420689</v>
      </c>
      <c r="P69" s="356"/>
      <c r="Q69" s="328"/>
      <c r="R69" s="153">
        <f>$H$15*SUM(R61:R68)</f>
        <v>7166374.3964678207</v>
      </c>
      <c r="S69" s="153">
        <f>$H$15*SUM(S61:S68)</f>
        <v>7175123.7698979834</v>
      </c>
      <c r="T69" s="153">
        <f>$H$15*SUM(T61:T68)</f>
        <v>6950738.2700115293</v>
      </c>
      <c r="U69" s="153">
        <f>$H$15*SUM(U61:U68)</f>
        <v>6915153.4001325918</v>
      </c>
      <c r="V69" s="153">
        <f>$H$15*SUM(V61:V68)</f>
        <v>7536784.6624867329</v>
      </c>
      <c r="W69" s="153"/>
      <c r="X69" s="156"/>
      <c r="Y69" s="79"/>
      <c r="Z69" s="214" t="str">
        <f>'S&amp;L CC+CT - Capital Costs'!$D43</f>
        <v>Owner's Contingency</v>
      </c>
      <c r="AA69" s="219"/>
      <c r="AB69" s="129" t="s">
        <v>338</v>
      </c>
    </row>
    <row r="70" spans="1:28" s="152" customFormat="1" ht="15" customHeight="1" x14ac:dyDescent="0.35">
      <c r="A70" s="313">
        <f>MAX($A$9:A69)+1</f>
        <v>36</v>
      </c>
      <c r="D70" s="215" t="str">
        <f t="shared" si="7"/>
        <v>Financing Fees</v>
      </c>
      <c r="E70" s="152" t="s">
        <v>42</v>
      </c>
      <c r="F70" s="213" t="str">
        <f>"["&amp;A70&amp;"]"</f>
        <v>[36]</v>
      </c>
      <c r="G70" s="313" t="s">
        <v>39</v>
      </c>
      <c r="H70" s="168" t="str">
        <f>IF($AA70=$Z$2,$H$19,IF($AA70=$Z$3, $H$20, ""))</f>
        <v/>
      </c>
      <c r="I70" s="328"/>
      <c r="J70" s="328"/>
      <c r="K70" s="153">
        <f>$H$16*SUM(K61:K69,K57)*Control!$H$22</f>
        <v>11603933.006197486</v>
      </c>
      <c r="L70" s="153">
        <f>$H$16*SUM(L61:L69,L57)*Control!$H$22</f>
        <v>11222243.929491686</v>
      </c>
      <c r="M70" s="153">
        <f>$H$16*SUM(M61:M69,M57)*Control!$H$22</f>
        <v>11179518.161254738</v>
      </c>
      <c r="N70" s="153">
        <f>$H$16*SUM(N61:N69,N57)*Control!$H$22</f>
        <v>11307705.775474098</v>
      </c>
      <c r="O70" s="153">
        <f>$H$16*SUM(O61:O69,O57)*Control!$H$22</f>
        <v>12455965.471917395</v>
      </c>
      <c r="P70" s="356"/>
      <c r="Q70" s="328"/>
      <c r="R70" s="153">
        <f>$H$16*SUM(R61:R69,R57)*Control!$H$22</f>
        <v>11765415.370828351</v>
      </c>
      <c r="S70" s="153">
        <f>$H$16*SUM(S61:S69,S57)*Control!$H$22</f>
        <v>11374896.392449714</v>
      </c>
      <c r="T70" s="153">
        <f>$H$16*SUM(T61:T69,T57)*Control!$H$22</f>
        <v>11328518.253684999</v>
      </c>
      <c r="U70" s="153">
        <f>$H$16*SUM(U61:U69,U57)*Control!$H$22</f>
        <v>11458651.443335731</v>
      </c>
      <c r="V70" s="153">
        <f>$H$16*SUM(V61:V69,V57)*Control!$H$22</f>
        <v>12633804.101652993</v>
      </c>
      <c r="W70" s="153"/>
      <c r="X70" s="156"/>
      <c r="Y70" s="79"/>
      <c r="Z70" s="214" t="s">
        <v>85</v>
      </c>
      <c r="AA70" s="219"/>
      <c r="AB70" s="48"/>
    </row>
    <row r="71" spans="1:28" s="152" customFormat="1" ht="15" customHeight="1" x14ac:dyDescent="0.35">
      <c r="A71" s="313">
        <f>MAX($A$9:A70)+1</f>
        <v>37</v>
      </c>
      <c r="D71" s="1787" t="s">
        <v>112</v>
      </c>
      <c r="E71" s="1788" t="s">
        <v>42</v>
      </c>
      <c r="F71" s="1789" t="str">
        <f t="shared" si="8"/>
        <v>[37]</v>
      </c>
      <c r="G71" s="1788" t="str">
        <f>"SUM("&amp;$F$61&amp;":"&amp;$F$70&amp;")"</f>
        <v>SUM([27]:[36])</v>
      </c>
      <c r="H71" s="1790" t="str">
        <f>IF($AA71=$Z$2,$H$19,IF($AA71=$Z$3, $H$20, ""))</f>
        <v/>
      </c>
      <c r="I71" s="1798"/>
      <c r="J71" s="1798"/>
      <c r="K71" s="1799">
        <f>SUM(K$61:K$70)</f>
        <v>106085973.28790133</v>
      </c>
      <c r="L71" s="1799">
        <f>SUM(L$61:L$70)</f>
        <v>105748530.72456828</v>
      </c>
      <c r="M71" s="1799">
        <f>SUM(M$61:M$70)</f>
        <v>102867114.58192459</v>
      </c>
      <c r="N71" s="1799">
        <f>SUM(N$61:N$70)</f>
        <v>102596561.93338755</v>
      </c>
      <c r="O71" s="1799">
        <f>SUM(O$61:O$70)</f>
        <v>111700995.44543532</v>
      </c>
      <c r="P71" s="1793"/>
      <c r="Q71" s="1791"/>
      <c r="R71" s="1799">
        <f>SUM(R$61:R$70)</f>
        <v>108511469.72314392</v>
      </c>
      <c r="S71" s="1799">
        <f>SUM(S$61:S$70)</f>
        <v>108239067.28607249</v>
      </c>
      <c r="T71" s="2130">
        <f>SUM(T$61:T$70)</f>
        <v>105163484.89884064</v>
      </c>
      <c r="U71" s="1799">
        <f>SUM(U$61:U$70)</f>
        <v>104813222.34512572</v>
      </c>
      <c r="V71" s="1799">
        <f>SUM(V$61:V$70)</f>
        <v>114380397.04522389</v>
      </c>
      <c r="W71" s="164"/>
      <c r="X71" s="156"/>
      <c r="Y71" s="79"/>
      <c r="Z71" s="214"/>
      <c r="AA71" s="214"/>
      <c r="AB71" s="214"/>
    </row>
    <row r="72" spans="1:28" s="152" customFormat="1" ht="6" customHeight="1" x14ac:dyDescent="0.35">
      <c r="D72" s="159"/>
      <c r="E72" s="155"/>
      <c r="F72" s="155"/>
      <c r="G72" s="155"/>
      <c r="H72" s="265"/>
      <c r="I72" s="260"/>
      <c r="J72" s="260"/>
      <c r="K72" s="159"/>
      <c r="L72" s="159"/>
      <c r="M72" s="159"/>
      <c r="N72" s="159"/>
      <c r="O72" s="159"/>
      <c r="P72" s="246"/>
      <c r="Q72" s="204"/>
      <c r="R72" s="159"/>
      <c r="S72" s="159"/>
      <c r="T72" s="159"/>
      <c r="U72" s="159"/>
      <c r="V72" s="159"/>
      <c r="W72" s="246"/>
      <c r="X72" s="156"/>
      <c r="Y72" s="79"/>
      <c r="Z72" s="214"/>
      <c r="AA72" s="214"/>
      <c r="AB72" s="214"/>
    </row>
    <row r="73" spans="1:28" s="152" customFormat="1" ht="6" customHeight="1" x14ac:dyDescent="0.35">
      <c r="D73" s="313"/>
      <c r="H73" s="270"/>
      <c r="I73" s="260"/>
      <c r="J73" s="260"/>
      <c r="K73" s="313"/>
      <c r="L73" s="313"/>
      <c r="M73" s="313"/>
      <c r="N73" s="313"/>
      <c r="O73" s="313"/>
      <c r="P73" s="246"/>
      <c r="Q73" s="204"/>
      <c r="R73" s="313"/>
      <c r="S73" s="313"/>
      <c r="T73" s="313"/>
      <c r="U73" s="313"/>
      <c r="V73" s="313"/>
      <c r="W73" s="313"/>
      <c r="X73" s="156"/>
      <c r="Y73" s="79"/>
      <c r="Z73" s="214"/>
      <c r="AA73" s="214"/>
      <c r="AB73" s="214"/>
    </row>
    <row r="74" spans="1:28" s="152" customFormat="1" ht="15" customHeight="1" x14ac:dyDescent="0.35">
      <c r="D74" s="162" t="s">
        <v>219</v>
      </c>
      <c r="F74" s="213"/>
      <c r="H74" s="313"/>
      <c r="K74" s="153"/>
      <c r="L74" s="153"/>
      <c r="M74" s="153"/>
      <c r="N74" s="153"/>
      <c r="O74" s="153"/>
      <c r="P74" s="153"/>
      <c r="R74" s="313"/>
      <c r="S74" s="313"/>
      <c r="T74" s="313"/>
      <c r="U74" s="313"/>
      <c r="V74" s="313"/>
      <c r="W74" s="313"/>
      <c r="X74" s="156"/>
      <c r="Y74" s="79"/>
      <c r="Z74" s="214"/>
      <c r="AA74" s="214"/>
      <c r="AB74" s="214"/>
    </row>
    <row r="75" spans="1:28" s="152" customFormat="1" ht="15" customHeight="1" x14ac:dyDescent="0.35">
      <c r="A75" s="313">
        <f>MAX($A$9:A74)+1</f>
        <v>38</v>
      </c>
      <c r="D75" s="216" t="s">
        <v>151</v>
      </c>
      <c r="E75" s="152" t="s">
        <v>42</v>
      </c>
      <c r="F75" s="213" t="str">
        <f>"["&amp;A75&amp;"]"</f>
        <v>[38]</v>
      </c>
      <c r="G75" s="313" t="str">
        <f>F57&amp;" + "&amp;F71</f>
        <v>[26] + [37]</v>
      </c>
      <c r="H75" s="168" t="str">
        <f>IF($AA75=$Z$2,$H$19,IF($AA75=$Z$3, $H$20, ""))</f>
        <v/>
      </c>
      <c r="K75" s="153">
        <f>K$57+K$71</f>
        <v>539055433.28790128</v>
      </c>
      <c r="L75" s="153">
        <f>L$57+L$71</f>
        <v>521324240.72456825</v>
      </c>
      <c r="M75" s="153">
        <f>M$57+M$71</f>
        <v>519339434.58192456</v>
      </c>
      <c r="N75" s="153">
        <f>N$57+N$71</f>
        <v>525294331.93338752</v>
      </c>
      <c r="O75" s="153">
        <f>O$57+O$71</f>
        <v>578636214.19543529</v>
      </c>
      <c r="P75" s="153"/>
      <c r="R75" s="153">
        <f>R$57+R$71</f>
        <v>546557023.13575339</v>
      </c>
      <c r="S75" s="153">
        <f>S$57+S$71</f>
        <v>528415641.50380033</v>
      </c>
      <c r="T75" s="153">
        <f>T$57+T$71</f>
        <v>526261166.14845765</v>
      </c>
      <c r="U75" s="153">
        <f>U$57+U$71</f>
        <v>532306444.32223254</v>
      </c>
      <c r="V75" s="153">
        <f>V$57+V$71</f>
        <v>586897626.90406179</v>
      </c>
      <c r="W75" s="153"/>
      <c r="X75" s="156"/>
      <c r="Y75" s="79"/>
      <c r="Z75" s="214"/>
      <c r="AA75" s="214"/>
      <c r="AB75" s="214"/>
    </row>
    <row r="76" spans="1:28" s="152" customFormat="1" ht="15" customHeight="1" x14ac:dyDescent="0.35">
      <c r="A76" s="313">
        <f>MAX($A$9:A75)+1</f>
        <v>39</v>
      </c>
      <c r="D76" s="247" t="s">
        <v>151</v>
      </c>
      <c r="E76" s="162" t="s">
        <v>5</v>
      </c>
      <c r="F76" s="243" t="str">
        <f>"["&amp;A76&amp;"]"</f>
        <v>[39]</v>
      </c>
      <c r="G76" s="2129" t="str">
        <f>$F$75&amp;" / ("&amp;$F$36&amp;" x 1000)"</f>
        <v>[38] / ([12] x 1000)</v>
      </c>
      <c r="H76" s="168" t="str">
        <f>IF($AA76=$Z$2,$H$19,IF($AA76=$Z$3, $H$20, ""))</f>
        <v/>
      </c>
      <c r="K76" s="164">
        <f>K$75/(K$36*1000)</f>
        <v>1375.8925364558745</v>
      </c>
      <c r="L76" s="164">
        <f>L$75/(L$36*1000)</f>
        <v>1321.4474683140306</v>
      </c>
      <c r="M76" s="164">
        <f>M$75/(M$36*1000)</f>
        <v>1343.1458587073482</v>
      </c>
      <c r="N76" s="164">
        <f>N$75/(N$36*1000)</f>
        <v>1371.8193762982871</v>
      </c>
      <c r="O76" s="164">
        <f>O$75/(O$36*1000)</f>
        <v>1474.1046997086501</v>
      </c>
      <c r="P76" s="164"/>
      <c r="Q76" s="164"/>
      <c r="R76" s="164">
        <f>R$75/(K$36*1000)</f>
        <v>1395.0396980386063</v>
      </c>
      <c r="S76" s="164">
        <f>S$75/(L$36*1000)</f>
        <v>1339.4226800430922</v>
      </c>
      <c r="T76" s="164">
        <f>T$75/(M$36*1000)</f>
        <v>1361.0472435620472</v>
      </c>
      <c r="U76" s="164">
        <f>U$75/(N$36*1000)</f>
        <v>1390.1316843873428</v>
      </c>
      <c r="V76" s="164">
        <f>V$75/(O$36*1000)</f>
        <v>1495.1510618291964</v>
      </c>
      <c r="W76" s="153"/>
      <c r="X76" s="156"/>
      <c r="Y76" s="79"/>
      <c r="Z76" s="214"/>
      <c r="AA76" s="214"/>
      <c r="AB76" s="214"/>
    </row>
    <row r="77" spans="1:28" ht="6" customHeight="1" thickBot="1" x14ac:dyDescent="0.4">
      <c r="D77" s="20"/>
      <c r="E77" s="20"/>
      <c r="F77" s="20"/>
      <c r="G77" s="20"/>
      <c r="H77" s="44"/>
      <c r="I77" s="44"/>
      <c r="J77" s="44"/>
      <c r="K77" s="44"/>
      <c r="L77" s="44"/>
      <c r="M77" s="44"/>
      <c r="N77" s="44"/>
      <c r="O77" s="44"/>
      <c r="P77" s="44"/>
      <c r="Q77" s="20"/>
      <c r="R77" s="20"/>
      <c r="S77" s="20"/>
      <c r="T77" s="20"/>
      <c r="U77" s="44"/>
      <c r="V77" s="44"/>
      <c r="W77" s="132"/>
      <c r="Y77"/>
      <c r="Z77" s="214"/>
      <c r="AA77" s="214"/>
      <c r="AB77" s="214"/>
    </row>
    <row r="78" spans="1:28" ht="6" customHeight="1" thickTop="1" x14ac:dyDescent="0.35">
      <c r="Y78"/>
      <c r="Z78" s="214"/>
      <c r="AA78" s="214"/>
      <c r="AB78" s="214"/>
    </row>
    <row r="79" spans="1:28" ht="15" customHeight="1" x14ac:dyDescent="0.35">
      <c r="D79" s="5" t="s">
        <v>26</v>
      </c>
      <c r="K79" s="973"/>
      <c r="L79" s="973"/>
      <c r="M79" s="973"/>
      <c r="N79" s="973"/>
      <c r="O79" s="973"/>
      <c r="R79" s="973"/>
      <c r="S79" s="973"/>
      <c r="T79" s="973"/>
      <c r="U79" s="973"/>
      <c r="V79" s="973"/>
      <c r="Y79"/>
      <c r="Z79" s="214"/>
      <c r="AA79" s="214"/>
      <c r="AB79" s="214"/>
    </row>
    <row r="80" spans="1:28" s="1115" customFormat="1" ht="15" customHeight="1" x14ac:dyDescent="0.35">
      <c r="D80" s="404" t="s">
        <v>679</v>
      </c>
      <c r="Z80" s="214"/>
      <c r="AA80" s="214"/>
      <c r="AB80" s="214"/>
    </row>
    <row r="81" spans="4:28" ht="15" customHeight="1" x14ac:dyDescent="0.35">
      <c r="D81" s="93" t="str">
        <f>$H$26&amp;": "&amp;F19&amp;" or "&amp;F20&amp;"."</f>
        <v>[A]: [9] or [10].</v>
      </c>
      <c r="E81" s="93"/>
      <c r="F81" s="93"/>
      <c r="G81" s="93"/>
      <c r="H81" s="93"/>
      <c r="I81" s="93"/>
      <c r="J81" s="93"/>
      <c r="K81" s="93"/>
      <c r="L81" s="93"/>
      <c r="M81" s="1349"/>
      <c r="N81" s="93"/>
      <c r="O81" s="93"/>
      <c r="P81" s="93"/>
      <c r="Q81" s="93"/>
      <c r="R81" s="93"/>
      <c r="S81" s="93"/>
      <c r="T81" s="93"/>
      <c r="U81" s="93"/>
      <c r="V81" s="93"/>
      <c r="W81" s="1048"/>
      <c r="Y81"/>
      <c r="Z81" s="214"/>
      <c r="AA81" s="214"/>
      <c r="AB81" s="214"/>
    </row>
    <row r="82" spans="4:28" ht="15" customHeight="1" x14ac:dyDescent="0.35">
      <c r="D82" s="93" t="str">
        <f>$R$26&amp;" to "&amp;V26&amp;": All cost components are escalated according to the Escalation Rate in "&amp;$H$26&amp;"."</f>
        <v>[G] to [K]: All cost components are escalated according to the Escalation Rate in [A].</v>
      </c>
      <c r="E82" s="93"/>
      <c r="F82" s="93"/>
      <c r="G82" s="93"/>
      <c r="H82" s="93"/>
      <c r="I82" s="93"/>
      <c r="J82" s="93"/>
      <c r="K82" s="93"/>
      <c r="L82" s="93"/>
      <c r="M82" s="93"/>
      <c r="N82" s="93"/>
      <c r="O82" s="93"/>
      <c r="P82" s="93"/>
      <c r="Q82" s="93"/>
      <c r="R82" s="93"/>
      <c r="S82" s="93"/>
      <c r="T82" s="93"/>
      <c r="U82" s="93"/>
      <c r="V82" s="93"/>
      <c r="W82" s="1198"/>
      <c r="Y82"/>
      <c r="Z82" s="214"/>
      <c r="AA82" s="214"/>
      <c r="AB82" s="214"/>
    </row>
    <row r="83" spans="4:28" ht="15" customHeight="1" x14ac:dyDescent="0.35">
      <c r="D83" s="2144" t="str">
        <f>$F$42&amp;", "&amp;$F$43&amp;", "&amp;$F$48&amp;": These line items are escalated to the equipment contract lock-in date using the Escalation Rate in "&amp;F19&amp;"."</f>
        <v>[14], [15], [18]: These line items are escalated to the equipment contract lock-in date using the Escalation Rate in [9].</v>
      </c>
      <c r="E83" s="93"/>
      <c r="F83" s="93"/>
      <c r="G83" s="93"/>
      <c r="H83" s="93"/>
      <c r="I83" s="93"/>
      <c r="J83" s="93"/>
      <c r="K83" s="93"/>
      <c r="L83" s="93"/>
      <c r="M83" s="93"/>
      <c r="N83" s="93"/>
      <c r="O83" s="93"/>
      <c r="P83" s="93"/>
      <c r="Q83" s="93"/>
      <c r="R83" s="93"/>
      <c r="S83" s="93"/>
      <c r="T83" s="93"/>
      <c r="U83" s="93"/>
      <c r="V83" s="93"/>
      <c r="W83" s="2064"/>
      <c r="Y83"/>
      <c r="Z83" s="214"/>
      <c r="AA83" s="214"/>
      <c r="AB83" s="214"/>
    </row>
    <row r="84" spans="4:28" ht="15" customHeight="1" x14ac:dyDescent="0.35">
      <c r="D84" s="2144" t="str">
        <f>$F$49&amp;" to "&amp;$F$51&amp;", "&amp;$F$65&amp;" to "&amp;$F$67&amp;": These line items are escalated to the mid-point of construction using the Escalation Rate in "&amp;F20&amp;"."</f>
        <v>[19] to [21], [31] to [33]: These line items are escalated to the mid-point of construction using the Escalation Rate in [10].</v>
      </c>
      <c r="E84" s="93"/>
      <c r="F84" s="93"/>
      <c r="G84" s="93"/>
      <c r="H84" s="93"/>
      <c r="I84" s="93"/>
      <c r="J84" s="93"/>
      <c r="K84" s="93"/>
      <c r="L84" s="93"/>
      <c r="M84" s="93"/>
      <c r="N84" s="93"/>
      <c r="O84" s="93"/>
      <c r="P84" s="93"/>
      <c r="Q84" s="93"/>
      <c r="R84" s="93"/>
      <c r="S84" s="93"/>
      <c r="T84" s="93"/>
      <c r="U84" s="93"/>
      <c r="V84" s="93"/>
      <c r="W84" s="2064"/>
      <c r="Y84"/>
      <c r="Z84" s="214"/>
      <c r="AA84" s="214"/>
      <c r="AB84" s="214"/>
    </row>
    <row r="85" spans="4:28" ht="15" customHeight="1" x14ac:dyDescent="0.35">
      <c r="D85" s="2144" t="str">
        <f>F64&amp;", "&amp;F68&amp;": These line items are initially calculated in Nominal$ for the online year. In "&amp;K26&amp;" to "&amp;O26&amp;", these are de-escalated to the cost estimate date using the rate in "&amp;F21&amp;"."</f>
        <v>[30], [34]: These line items are initially calculated in Nominal$ for the online year. In [B] to [F], these are de-escalated to the cost estimate date using the rate in [11].</v>
      </c>
      <c r="E85" s="93"/>
      <c r="F85" s="93"/>
      <c r="G85" s="93"/>
      <c r="H85" s="93"/>
      <c r="I85" s="93"/>
      <c r="J85" s="93"/>
      <c r="K85" s="93"/>
      <c r="L85" s="93"/>
      <c r="M85" s="93"/>
      <c r="N85" s="93"/>
      <c r="O85" s="93"/>
      <c r="P85" s="93"/>
      <c r="Q85" s="93"/>
      <c r="R85" s="93"/>
      <c r="S85" s="93"/>
      <c r="T85" s="93"/>
      <c r="U85" s="93"/>
      <c r="V85" s="93"/>
      <c r="W85" s="1198"/>
      <c r="Y85"/>
      <c r="Z85" s="214"/>
      <c r="AA85" s="214"/>
      <c r="AB85" s="214"/>
    </row>
    <row r="86" spans="4:28" ht="15" customHeight="1" x14ac:dyDescent="0.35">
      <c r="D86" s="93" t="str">
        <f>$F$70&amp;": "&amp;$F$16&amp;" x SUM("&amp;$F$57&amp;":"&amp;$F$69&amp;") x Debt Fraction from Control Table."</f>
        <v>[36]: [8] x SUM([26]:[35]) x Debt Fraction from Control Table.</v>
      </c>
      <c r="E86" s="1048"/>
      <c r="F86" s="1048"/>
      <c r="G86" s="1048"/>
      <c r="H86" s="1048"/>
      <c r="I86" s="1048"/>
      <c r="J86" s="1048"/>
      <c r="K86" s="93"/>
      <c r="L86" s="93"/>
      <c r="M86" s="93"/>
      <c r="N86" s="93"/>
      <c r="O86" s="93"/>
      <c r="P86" s="1048"/>
      <c r="Q86" s="1048"/>
      <c r="R86" s="1048"/>
      <c r="S86" s="1048"/>
      <c r="T86" s="1048"/>
      <c r="U86" s="1048"/>
      <c r="V86" s="1048"/>
      <c r="Z86" s="214"/>
      <c r="AA86" s="214"/>
      <c r="AB86" s="214"/>
    </row>
    <row r="87" spans="4:28" ht="15" customHeight="1" x14ac:dyDescent="0.35">
      <c r="D87" s="93"/>
      <c r="E87" s="1048"/>
      <c r="F87" s="1048"/>
      <c r="G87" s="1048"/>
      <c r="H87" s="1048"/>
      <c r="I87" s="1048"/>
      <c r="J87" s="1048"/>
      <c r="K87" s="93"/>
      <c r="L87" s="93"/>
      <c r="M87" s="93"/>
      <c r="N87" s="93"/>
      <c r="O87" s="93"/>
      <c r="P87" s="1048"/>
      <c r="Q87" s="1048"/>
      <c r="R87" s="1048"/>
      <c r="S87" s="1048"/>
      <c r="T87" s="1048"/>
      <c r="U87" s="1048"/>
      <c r="V87" s="1048"/>
      <c r="Z87" s="214"/>
      <c r="AA87" s="214"/>
      <c r="AB87" s="214"/>
    </row>
    <row r="88" spans="4:28" ht="15" customHeight="1" x14ac:dyDescent="0.35">
      <c r="D88" s="93"/>
      <c r="E88" s="1048"/>
      <c r="F88" s="1048"/>
      <c r="G88" s="1048"/>
      <c r="H88" s="1048"/>
      <c r="I88" s="1048"/>
      <c r="J88" s="1048"/>
      <c r="K88" s="93"/>
      <c r="L88" s="93"/>
      <c r="M88" s="93"/>
      <c r="N88" s="93"/>
      <c r="O88" s="93"/>
      <c r="P88" s="1048"/>
      <c r="Q88" s="1048"/>
      <c r="R88" s="1048"/>
      <c r="S88" s="1048"/>
      <c r="T88" s="1048"/>
      <c r="U88" s="1048"/>
      <c r="V88" s="1048"/>
      <c r="Z88" s="214"/>
      <c r="AA88" s="214"/>
      <c r="AB88" s="214"/>
    </row>
    <row r="89" spans="4:28" ht="15" customHeight="1" x14ac:dyDescent="0.35">
      <c r="D89" s="93"/>
      <c r="E89" s="1048"/>
      <c r="F89" s="1048"/>
      <c r="G89" s="1048"/>
      <c r="H89" s="1048"/>
      <c r="I89" s="1048"/>
      <c r="J89" s="1048"/>
      <c r="K89" s="93"/>
      <c r="L89" s="93"/>
      <c r="M89" s="93"/>
      <c r="N89" s="93"/>
      <c r="O89" s="93"/>
      <c r="P89" s="1048"/>
      <c r="Q89" s="1048"/>
      <c r="R89" s="1048"/>
      <c r="S89" s="1048"/>
      <c r="T89" s="1048"/>
      <c r="U89" s="1048"/>
      <c r="V89" s="1048"/>
      <c r="Z89" s="214"/>
      <c r="AA89" s="214"/>
      <c r="AB89" s="214"/>
    </row>
    <row r="90" spans="4:28" ht="15" customHeight="1" x14ac:dyDescent="0.35">
      <c r="D90" s="93"/>
      <c r="E90" s="1048"/>
      <c r="F90" s="1048"/>
      <c r="G90" s="1048"/>
      <c r="H90" s="1048"/>
      <c r="I90" s="1048"/>
      <c r="J90" s="1048"/>
      <c r="K90" s="93"/>
      <c r="L90" s="93"/>
      <c r="M90" s="93"/>
      <c r="N90" s="93"/>
      <c r="O90" s="93"/>
      <c r="P90" s="1048"/>
      <c r="Q90" s="1048"/>
      <c r="R90" s="1048"/>
      <c r="S90" s="1048"/>
      <c r="T90" s="1048"/>
      <c r="U90" s="1048"/>
      <c r="V90" s="1048"/>
    </row>
    <row r="91" spans="4:28" ht="15" customHeight="1" x14ac:dyDescent="0.35">
      <c r="D91" s="93"/>
      <c r="E91" s="1048"/>
      <c r="F91" s="1048"/>
      <c r="G91" s="1048"/>
      <c r="H91" s="1048"/>
      <c r="I91" s="1048"/>
      <c r="J91" s="1048"/>
      <c r="K91" s="93"/>
      <c r="L91" s="93"/>
      <c r="M91" s="93"/>
      <c r="N91" s="93"/>
      <c r="O91" s="93"/>
      <c r="P91" s="1048"/>
      <c r="Q91" s="1048"/>
      <c r="R91" s="1048"/>
      <c r="S91" s="1048"/>
      <c r="T91" s="1048"/>
      <c r="U91" s="1048"/>
      <c r="V91" s="1048"/>
    </row>
    <row r="92" spans="4:28" ht="15" customHeight="1" x14ac:dyDescent="0.35">
      <c r="D92" s="93"/>
      <c r="E92" s="1048"/>
      <c r="F92" s="1048"/>
      <c r="G92" s="1048"/>
      <c r="H92" s="1048"/>
      <c r="I92" s="1048"/>
      <c r="J92" s="1048"/>
      <c r="K92" s="93"/>
      <c r="L92" s="93"/>
      <c r="M92" s="93"/>
      <c r="N92" s="93"/>
      <c r="O92" s="93"/>
      <c r="P92" s="1048"/>
      <c r="Q92" s="1048"/>
      <c r="R92" s="1048"/>
      <c r="S92" s="1048"/>
      <c r="T92" s="1048"/>
      <c r="U92" s="1048"/>
      <c r="V92" s="1048"/>
    </row>
    <row r="93" spans="4:28" ht="15" customHeight="1" x14ac:dyDescent="0.35">
      <c r="E93" s="1048"/>
      <c r="F93" s="1048"/>
      <c r="G93" s="1048"/>
      <c r="H93" s="1048"/>
      <c r="I93" s="1048"/>
      <c r="J93" s="1048"/>
      <c r="K93" s="93"/>
      <c r="L93" s="93"/>
      <c r="M93" s="93"/>
      <c r="N93" s="93"/>
      <c r="O93" s="93"/>
      <c r="P93" s="1048"/>
      <c r="Q93" s="1048"/>
      <c r="R93" s="1048"/>
      <c r="S93" s="1048"/>
      <c r="T93" s="1048"/>
      <c r="U93" s="1048"/>
      <c r="V93" s="1048"/>
    </row>
    <row r="94" spans="4:28" ht="15" customHeight="1" x14ac:dyDescent="0.35">
      <c r="E94" s="1048"/>
      <c r="F94" s="1048"/>
      <c r="G94" s="1048"/>
      <c r="H94" s="1048"/>
      <c r="I94" s="1048"/>
      <c r="J94" s="1048"/>
      <c r="K94" s="93"/>
      <c r="L94" s="93"/>
      <c r="M94" s="93"/>
      <c r="N94" s="93"/>
      <c r="O94" s="93"/>
      <c r="P94" s="1048"/>
      <c r="Q94" s="1048"/>
      <c r="R94" s="1048"/>
      <c r="S94" s="1048"/>
      <c r="T94" s="1048"/>
      <c r="U94" s="1048"/>
      <c r="V94" s="1048"/>
    </row>
    <row r="95" spans="4:28" ht="15" customHeight="1" x14ac:dyDescent="0.35">
      <c r="E95" s="93"/>
      <c r="F95" s="93"/>
      <c r="G95" s="93"/>
      <c r="H95" s="93"/>
      <c r="I95" s="93"/>
      <c r="J95" s="93"/>
      <c r="K95" s="93"/>
      <c r="L95" s="93"/>
      <c r="M95" s="93"/>
      <c r="N95" s="93"/>
      <c r="O95" s="93"/>
      <c r="P95" s="93"/>
      <c r="Q95" s="93"/>
      <c r="R95" s="93"/>
      <c r="S95" s="93"/>
      <c r="T95" s="93"/>
      <c r="U95" s="93"/>
      <c r="V95" s="93"/>
    </row>
    <row r="96" spans="4:28" ht="15" customHeight="1" x14ac:dyDescent="0.35">
      <c r="K96" s="93"/>
      <c r="L96" s="93"/>
      <c r="M96" s="93"/>
      <c r="N96" s="93"/>
      <c r="O96" s="93"/>
    </row>
    <row r="97" spans="11:15" ht="15" customHeight="1" x14ac:dyDescent="0.35">
      <c r="K97" s="93"/>
      <c r="L97" s="93"/>
      <c r="M97" s="93"/>
      <c r="N97" s="93"/>
      <c r="O97" s="93"/>
    </row>
    <row r="98" spans="11:15" ht="15" customHeight="1" x14ac:dyDescent="0.35">
      <c r="K98" s="93"/>
      <c r="L98" s="93"/>
      <c r="M98" s="93"/>
      <c r="N98" s="93"/>
      <c r="O98" s="93"/>
    </row>
    <row r="99" spans="11:15" ht="15" customHeight="1" x14ac:dyDescent="0.35">
      <c r="K99" s="93"/>
      <c r="L99" s="93"/>
      <c r="M99" s="93"/>
      <c r="N99" s="93"/>
      <c r="O99" s="93"/>
    </row>
    <row r="100" spans="11:15" ht="15" customHeight="1" x14ac:dyDescent="0.35">
      <c r="K100" s="93"/>
      <c r="L100" s="93"/>
      <c r="M100" s="93"/>
      <c r="N100" s="93"/>
      <c r="O100" s="93"/>
    </row>
    <row r="101" spans="11:15" ht="15" customHeight="1" x14ac:dyDescent="0.35">
      <c r="K101" s="93"/>
      <c r="L101" s="93"/>
      <c r="M101" s="93"/>
      <c r="N101" s="93"/>
      <c r="O101" s="93"/>
    </row>
    <row r="102" spans="11:15" ht="15" customHeight="1" x14ac:dyDescent="0.35">
      <c r="K102" s="93"/>
      <c r="L102" s="93"/>
      <c r="M102" s="93"/>
      <c r="N102" s="93"/>
      <c r="O102" s="93"/>
    </row>
    <row r="103" spans="11:15" ht="15" customHeight="1" x14ac:dyDescent="0.35">
      <c r="K103" s="93"/>
      <c r="L103" s="93"/>
      <c r="M103" s="93"/>
      <c r="N103" s="93"/>
      <c r="O103" s="93"/>
    </row>
  </sheetData>
  <mergeCells count="1">
    <mergeCell ref="D31:D32"/>
  </mergeCells>
  <phoneticPr fontId="26" type="noConversion"/>
  <conditionalFormatting sqref="X48:X76">
    <cfRule type="cellIs" dxfId="31" priority="5" operator="equal">
      <formula>TRUE</formula>
    </cfRule>
    <cfRule type="cellIs" dxfId="30" priority="6" operator="equal">
      <formula>TRUE</formula>
    </cfRule>
  </conditionalFormatting>
  <conditionalFormatting sqref="X80:Y80">
    <cfRule type="cellIs" dxfId="29" priority="1" operator="equal">
      <formula>TRUE</formula>
    </cfRule>
    <cfRule type="cellIs" dxfId="28"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2969-149C-46D8-90D9-A189811FC6C9}">
  <sheetPr codeName="Sheet22">
    <pageSetUpPr autoPageBreaks="0"/>
  </sheetPr>
  <dimension ref="A1:AL97"/>
  <sheetViews>
    <sheetView showGridLines="0" zoomScale="70" zoomScaleNormal="70" workbookViewId="0"/>
  </sheetViews>
  <sheetFormatPr defaultColWidth="8.7265625" defaultRowHeight="15" customHeight="1" outlineLevelCol="1" x14ac:dyDescent="0.35"/>
  <cols>
    <col min="1" max="3" width="13.54296875" style="5" customWidth="1"/>
    <col min="4" max="4" width="54.54296875" style="5" customWidth="1"/>
    <col min="5" max="5" width="26.1796875" style="5" bestFit="1" customWidth="1"/>
    <col min="6" max="6" width="5.7265625" style="5" customWidth="1"/>
    <col min="7" max="7" width="18.453125" style="5" bestFit="1" customWidth="1"/>
    <col min="8" max="8" width="13.54296875" style="26" bestFit="1" customWidth="1"/>
    <col min="9" max="10" width="0.81640625" style="26" customWidth="1"/>
    <col min="11" max="15" width="13.54296875" style="26" customWidth="1"/>
    <col min="16" max="16" width="0.81640625" style="26" customWidth="1"/>
    <col min="17" max="17" width="0.81640625" style="5" customWidth="1"/>
    <col min="18" max="20" width="13.54296875" style="5" customWidth="1"/>
    <col min="21" max="23" width="13.54296875" style="26" customWidth="1"/>
    <col min="24" max="25" width="13.54296875" style="5" customWidth="1"/>
    <col min="26" max="26" width="63.1796875" style="36" hidden="1" customWidth="1" outlineLevel="1"/>
    <col min="27" max="27" width="21.453125" style="36" hidden="1" customWidth="1" outlineLevel="1"/>
    <col min="28" max="28" width="22.453125" style="36" hidden="1" customWidth="1" outlineLevel="1"/>
    <col min="29" max="29" width="8.7265625" style="5" collapsed="1"/>
    <col min="30" max="16384" width="8.7265625" style="5"/>
  </cols>
  <sheetData>
    <row r="1" spans="1:28" ht="15" customHeight="1" x14ac:dyDescent="0.35">
      <c r="A1" s="81" t="s">
        <v>275</v>
      </c>
      <c r="B1" s="414"/>
      <c r="H1" s="26">
        <f>65</f>
        <v>65</v>
      </c>
      <c r="K1" s="5">
        <f>MAX($H$1:H1)+1</f>
        <v>66</v>
      </c>
      <c r="L1" s="5">
        <f>MAX($H$1:K1)+1</f>
        <v>67</v>
      </c>
      <c r="M1" s="5">
        <f>MAX($H$1:L1)+1</f>
        <v>68</v>
      </c>
      <c r="N1" s="5">
        <f>MAX($H$1:M1)+1</f>
        <v>69</v>
      </c>
      <c r="O1" s="5">
        <f>MAX($H$1:N1)+1</f>
        <v>70</v>
      </c>
      <c r="R1" s="5">
        <f>MAX($H$1:Q1)+1</f>
        <v>71</v>
      </c>
      <c r="S1" s="5">
        <f>MAX($H$1:R1)+1</f>
        <v>72</v>
      </c>
      <c r="T1" s="5">
        <f>MAX($H$1:S1)+1</f>
        <v>73</v>
      </c>
      <c r="U1" s="5">
        <f>MAX($H$1:T1)+1</f>
        <v>74</v>
      </c>
      <c r="V1" s="5">
        <f>MAX($H$1:U1)+1</f>
        <v>75</v>
      </c>
    </row>
    <row r="2" spans="1:28" ht="15" customHeight="1" x14ac:dyDescent="0.35">
      <c r="W2" s="132"/>
      <c r="Z2" s="214" t="s">
        <v>585</v>
      </c>
    </row>
    <row r="3" spans="1:28" ht="15" customHeight="1" x14ac:dyDescent="0.35">
      <c r="D3" s="88" t="str">
        <f>LEFT($D4, FIND(":",$D4)-1)</f>
        <v>Table B7</v>
      </c>
      <c r="W3" s="132"/>
      <c r="Z3" s="219" t="s">
        <v>515</v>
      </c>
    </row>
    <row r="4" spans="1:28" ht="15" customHeight="1" x14ac:dyDescent="0.35">
      <c r="D4" s="2" t="str">
        <f>ToC!$J$35</f>
        <v>Table B7: CC Capital Cost Escalation</v>
      </c>
      <c r="W4" s="132"/>
    </row>
    <row r="5" spans="1:28" ht="6" customHeight="1" thickBot="1" x14ac:dyDescent="0.4">
      <c r="D5" s="20"/>
      <c r="E5" s="20"/>
      <c r="F5" s="20"/>
      <c r="G5" s="20"/>
      <c r="H5" s="44"/>
      <c r="I5" s="44"/>
      <c r="J5" s="44"/>
      <c r="K5" s="44"/>
      <c r="L5" s="44"/>
      <c r="M5" s="44"/>
      <c r="N5" s="44"/>
      <c r="O5" s="44"/>
      <c r="P5" s="44"/>
      <c r="Q5" s="20"/>
      <c r="R5" s="20"/>
      <c r="S5" s="20"/>
      <c r="T5" s="20"/>
      <c r="U5" s="44"/>
      <c r="V5" s="132"/>
      <c r="W5" s="132"/>
    </row>
    <row r="6" spans="1:28" ht="6" customHeight="1" thickTop="1" x14ac:dyDescent="0.35">
      <c r="W6" s="132"/>
    </row>
    <row r="7" spans="1:28" s="152" customFormat="1" ht="15" customHeight="1" x14ac:dyDescent="0.35">
      <c r="A7" s="313">
        <v>1</v>
      </c>
      <c r="D7" s="235" t="str">
        <f>Control!$D$10</f>
        <v>Technology</v>
      </c>
      <c r="F7" s="213" t="str">
        <f>"["&amp;A7&amp;"]"</f>
        <v>[1]</v>
      </c>
      <c r="G7" s="2129" t="str">
        <f>Control!$D$3</f>
        <v>Control Table</v>
      </c>
      <c r="H7" s="166" t="str">
        <f>Control!$J$10</f>
        <v>CC</v>
      </c>
      <c r="I7" s="166"/>
      <c r="J7" s="166"/>
      <c r="K7" s="166"/>
      <c r="L7" s="166"/>
      <c r="M7" s="166"/>
      <c r="N7" s="166"/>
      <c r="O7" s="257"/>
      <c r="P7" s="204"/>
      <c r="Q7" s="204"/>
      <c r="R7" s="204"/>
      <c r="S7" s="204"/>
      <c r="T7" s="204"/>
      <c r="U7" s="246"/>
      <c r="V7" s="246"/>
      <c r="W7" s="313"/>
      <c r="Z7" s="214"/>
      <c r="AA7" s="214"/>
      <c r="AB7" s="214"/>
    </row>
    <row r="8" spans="1:28" s="204" customFormat="1" ht="6" customHeight="1" x14ac:dyDescent="0.35">
      <c r="A8" s="246"/>
      <c r="D8" s="372"/>
      <c r="E8" s="261"/>
      <c r="F8" s="373"/>
      <c r="G8" s="261"/>
      <c r="H8" s="282"/>
      <c r="I8" s="282"/>
      <c r="J8" s="282"/>
      <c r="K8" s="282"/>
      <c r="L8" s="282"/>
      <c r="M8" s="282"/>
      <c r="N8" s="282"/>
      <c r="O8" s="298"/>
      <c r="U8" s="246"/>
      <c r="V8" s="246"/>
      <c r="W8" s="246"/>
      <c r="Z8" s="374"/>
      <c r="AA8" s="374"/>
      <c r="AB8" s="374"/>
    </row>
    <row r="9" spans="1:28" s="152" customFormat="1" ht="15" customHeight="1" x14ac:dyDescent="0.35">
      <c r="D9" s="162" t="s">
        <v>213</v>
      </c>
      <c r="F9" s="213"/>
      <c r="G9" s="313"/>
      <c r="H9" s="167"/>
      <c r="I9" s="167"/>
      <c r="J9" s="167"/>
      <c r="K9" s="288"/>
      <c r="L9" s="288"/>
      <c r="M9" s="288"/>
      <c r="N9" s="288"/>
      <c r="O9" s="288"/>
      <c r="P9" s="204"/>
      <c r="U9" s="313"/>
      <c r="V9" s="313"/>
      <c r="W9" s="313"/>
      <c r="Z9" s="214"/>
      <c r="AA9" s="214"/>
      <c r="AB9" s="214"/>
    </row>
    <row r="10" spans="1:28" s="152" customFormat="1" ht="15" customHeight="1" x14ac:dyDescent="0.35">
      <c r="A10" s="313">
        <f>MAX($A$7:A9)+1</f>
        <v>2</v>
      </c>
      <c r="D10" s="216" t="s">
        <v>77</v>
      </c>
      <c r="E10" s="313" t="s">
        <v>593</v>
      </c>
      <c r="F10" s="213" t="str">
        <f t="shared" ref="F10:F16" si="0">"["&amp;A10&amp;"]"</f>
        <v>[2]</v>
      </c>
      <c r="G10" s="313" t="str">
        <f>'S&amp;L CC+CT - Cost Assumptions'!$D$3</f>
        <v>Table C7</v>
      </c>
      <c r="H10" s="154">
        <f>INDEX('S&amp;L CC+CT - Cost Assumptions'!$K$17:$O$64,MATCH($Z10,'S&amp;L CC+CT - Cost Assumptions'!$D$17:$D$59,0),MATCH(Control!$H$11,'S&amp;L CC+CT - Cost Assumptions'!$K$7:$O$7,0))</f>
        <v>0.1</v>
      </c>
      <c r="I10" s="154"/>
      <c r="J10" s="154"/>
      <c r="K10" s="328"/>
      <c r="L10" s="1780"/>
      <c r="M10" s="1781"/>
      <c r="N10" s="328"/>
      <c r="O10" s="154"/>
      <c r="P10" s="154"/>
      <c r="U10" s="313"/>
      <c r="V10" s="313"/>
      <c r="W10" s="313"/>
      <c r="Z10" s="219" t="str">
        <f>'S&amp;L CC+CT - Cost Assumptions'!$D34</f>
        <v>EPC Contractor Fee</v>
      </c>
      <c r="AA10" s="214"/>
      <c r="AB10" s="214"/>
    </row>
    <row r="11" spans="1:28" s="152" customFormat="1" ht="15" customHeight="1" x14ac:dyDescent="0.35">
      <c r="A11" s="313">
        <f>MAX($A$7:A10)+1</f>
        <v>3</v>
      </c>
      <c r="D11" s="216" t="s">
        <v>79</v>
      </c>
      <c r="E11" s="313" t="s">
        <v>593</v>
      </c>
      <c r="F11" s="213" t="str">
        <f t="shared" si="0"/>
        <v>[3]</v>
      </c>
      <c r="G11" s="313" t="str">
        <f>'S&amp;L CC+CT - Cost Assumptions'!$D$3</f>
        <v>Table C7</v>
      </c>
      <c r="H11" s="154">
        <f>INDEX('S&amp;L CC+CT - Cost Assumptions'!$K$17:$O$64,MATCH($Z11,'S&amp;L CC+CT - Cost Assumptions'!$D$17:$D$59,0),MATCH(Control!$H$11,'S&amp;L CC+CT - Cost Assumptions'!$K$7:$O$7,0))</f>
        <v>0.1</v>
      </c>
      <c r="I11" s="154"/>
      <c r="J11" s="154"/>
      <c r="K11" s="328"/>
      <c r="L11" s="1780"/>
      <c r="M11" s="1781"/>
      <c r="N11" s="328"/>
      <c r="O11" s="154"/>
      <c r="P11" s="154"/>
      <c r="U11" s="313"/>
      <c r="V11" s="313"/>
      <c r="W11" s="313"/>
      <c r="Z11" s="219" t="str">
        <f>'S&amp;L CC+CT - Cost Assumptions'!$D35</f>
        <v>EPC Contingency</v>
      </c>
      <c r="AA11" s="214"/>
      <c r="AB11" s="214"/>
    </row>
    <row r="12" spans="1:28" s="152" customFormat="1" ht="15" customHeight="1" x14ac:dyDescent="0.35">
      <c r="A12" s="313">
        <f>MAX($A$7:A11)+1</f>
        <v>4</v>
      </c>
      <c r="D12" s="216" t="s">
        <v>80</v>
      </c>
      <c r="E12" s="313" t="s">
        <v>474</v>
      </c>
      <c r="F12" s="213" t="str">
        <f t="shared" si="0"/>
        <v>[4]</v>
      </c>
      <c r="G12" s="313" t="str">
        <f>'S&amp;L CC+CT - Cost Assumptions'!$D$3</f>
        <v>Table C7</v>
      </c>
      <c r="H12" s="154">
        <f>INDEX('S&amp;L CC+CT - Cost Assumptions'!$K$17:$O$64,MATCH($Z12,'S&amp;L CC+CT - Cost Assumptions'!$D$17:$D$59,0),MATCH(Control!$H$11,'S&amp;L CC+CT - Cost Assumptions'!$K$7:$O$7,0))</f>
        <v>0.05</v>
      </c>
      <c r="I12" s="154"/>
      <c r="J12" s="154"/>
      <c r="K12" s="328"/>
      <c r="L12" s="1780"/>
      <c r="M12" s="1781"/>
      <c r="N12" s="328"/>
      <c r="O12" s="154"/>
      <c r="P12" s="154"/>
      <c r="U12" s="313"/>
      <c r="V12" s="313"/>
      <c r="W12" s="313"/>
      <c r="Z12" s="219" t="str">
        <f>'S&amp;L CC+CT - Cost Assumptions'!$D36</f>
        <v>Project Development Cost</v>
      </c>
      <c r="AA12" s="214"/>
      <c r="AB12" s="214"/>
    </row>
    <row r="13" spans="1:28" s="152" customFormat="1" ht="15" customHeight="1" x14ac:dyDescent="0.35">
      <c r="A13" s="313">
        <f>MAX($A$7:A12)+1</f>
        <v>5</v>
      </c>
      <c r="D13" s="189" t="s">
        <v>148</v>
      </c>
      <c r="E13" s="313" t="s">
        <v>474</v>
      </c>
      <c r="F13" s="213" t="str">
        <f t="shared" si="0"/>
        <v>[5]</v>
      </c>
      <c r="G13" s="313" t="str">
        <f>'S&amp;L CC+CT - Cost Assumptions'!$D$3</f>
        <v>Table C7</v>
      </c>
      <c r="H13" s="154">
        <f>INDEX('S&amp;L CC+CT - Cost Assumptions'!$K$17:$O$64,MATCH($Z13,'S&amp;L CC+CT - Cost Assumptions'!$D$17:$D$59,0),MATCH(Control!$H$11,'S&amp;L CC+CT - Cost Assumptions'!$K$7:$O$7,0))</f>
        <v>0.01</v>
      </c>
      <c r="I13" s="154"/>
      <c r="J13" s="154"/>
      <c r="K13" s="328"/>
      <c r="L13" s="1780"/>
      <c r="M13" s="1781"/>
      <c r="N13" s="328"/>
      <c r="O13" s="154"/>
      <c r="P13" s="154"/>
      <c r="U13" s="313"/>
      <c r="V13" s="313"/>
      <c r="W13" s="313"/>
      <c r="Z13" s="219" t="str">
        <f>'S&amp;L CC+CT - Cost Assumptions'!$D37</f>
        <v>Mobilization and Start-Up Cost</v>
      </c>
      <c r="AA13" s="214"/>
      <c r="AB13" s="214"/>
    </row>
    <row r="14" spans="1:28" s="152" customFormat="1" ht="15" customHeight="1" x14ac:dyDescent="0.35">
      <c r="A14" s="313">
        <f>MAX($A$7:A13)+1</f>
        <v>6</v>
      </c>
      <c r="D14" s="216" t="s">
        <v>83</v>
      </c>
      <c r="E14" s="313" t="s">
        <v>474</v>
      </c>
      <c r="F14" s="213" t="str">
        <f t="shared" si="0"/>
        <v>[6]</v>
      </c>
      <c r="G14" s="313" t="str">
        <f>'S&amp;L CC+CT - Cost Assumptions'!$D$3</f>
        <v>Table C7</v>
      </c>
      <c r="H14" s="154">
        <f>INDEX('S&amp;L CC+CT - Cost Assumptions'!$K$17:$O$64,MATCH($Z14,'S&amp;L CC+CT - Cost Assumptions'!$D$17:$D$59,0),MATCH(Control!$H$11,'S&amp;L CC+CT - Cost Assumptions'!$K$7:$O$7,0))</f>
        <v>5.0000000000000001E-3</v>
      </c>
      <c r="I14" s="154"/>
      <c r="J14" s="154"/>
      <c r="K14" s="328"/>
      <c r="L14" s="1780"/>
      <c r="M14" s="1781"/>
      <c r="N14" s="328"/>
      <c r="O14" s="154"/>
      <c r="P14" s="154"/>
      <c r="U14" s="313"/>
      <c r="V14" s="313"/>
      <c r="W14" s="313"/>
      <c r="Z14" s="219" t="str">
        <f>'S&amp;L CC+CT - Cost Assumptions'!$D38</f>
        <v>Non-Fuel Inventories</v>
      </c>
      <c r="AA14" s="214"/>
      <c r="AB14" s="214"/>
    </row>
    <row r="15" spans="1:28" s="152" customFormat="1" ht="15" customHeight="1" x14ac:dyDescent="0.35">
      <c r="A15" s="313">
        <f>MAX($A$7:A14)+1</f>
        <v>7</v>
      </c>
      <c r="D15" s="216" t="s">
        <v>84</v>
      </c>
      <c r="E15" s="313" t="s">
        <v>594</v>
      </c>
      <c r="F15" s="213" t="str">
        <f t="shared" si="0"/>
        <v>[7]</v>
      </c>
      <c r="G15" s="313" t="str">
        <f>'S&amp;L CC+CT - Cost Assumptions'!$D$3</f>
        <v>Table C7</v>
      </c>
      <c r="H15" s="154">
        <f>INDEX('S&amp;L CC+CT - Cost Assumptions'!$K$17:$O$64,MATCH($Z15,'S&amp;L CC+CT - Cost Assumptions'!$D$17:$D$59,0),MATCH(Control!$H$11,'S&amp;L CC+CT - Cost Assumptions'!$K$7:$O$7,0))</f>
        <v>0.08</v>
      </c>
      <c r="I15" s="154"/>
      <c r="J15" s="154"/>
      <c r="K15" s="328"/>
      <c r="L15" s="1782"/>
      <c r="M15" s="1783"/>
      <c r="N15" s="328"/>
      <c r="O15" s="154"/>
      <c r="P15" s="154"/>
      <c r="U15" s="313"/>
      <c r="V15" s="313"/>
      <c r="W15" s="313"/>
      <c r="Z15" s="219" t="str">
        <f>'S&amp;L CC+CT - Cost Assumptions'!$D39</f>
        <v>Owner Contingency</v>
      </c>
      <c r="AA15" s="214"/>
      <c r="AB15" s="214"/>
    </row>
    <row r="16" spans="1:28" s="152" customFormat="1" ht="15" customHeight="1" x14ac:dyDescent="0.35">
      <c r="A16" s="313">
        <f>MAX($A$7:A15)+1</f>
        <v>8</v>
      </c>
      <c r="D16" s="216" t="s">
        <v>85</v>
      </c>
      <c r="E16" s="313" t="s">
        <v>664</v>
      </c>
      <c r="F16" s="213" t="str">
        <f t="shared" si="0"/>
        <v>[8]</v>
      </c>
      <c r="G16" s="313" t="str">
        <f>'S&amp;L CC+CT - Cost Assumptions'!$D$3</f>
        <v>Table C7</v>
      </c>
      <c r="H16" s="154">
        <f>INDEX('S&amp;L CC+CT - Cost Assumptions'!$K$17:$O$64,MATCH($Z16,'S&amp;L CC+CT - Cost Assumptions'!$D$17:$D$59,0),MATCH(Control!$H$11,'S&amp;L CC+CT - Cost Assumptions'!$K$7:$O$7,0))</f>
        <v>0.04</v>
      </c>
      <c r="I16" s="154"/>
      <c r="J16" s="154"/>
      <c r="K16" s="328"/>
      <c r="L16" s="1782"/>
      <c r="M16" s="1783"/>
      <c r="N16" s="328"/>
      <c r="O16" s="154"/>
      <c r="P16" s="154"/>
      <c r="U16" s="313"/>
      <c r="V16" s="313"/>
      <c r="W16" s="313"/>
      <c r="Z16" s="219" t="str">
        <f>'S&amp;L CC+CT - Cost Assumptions'!$D40</f>
        <v>Financing Fees</v>
      </c>
      <c r="AA16" s="214"/>
      <c r="AB16" s="214"/>
    </row>
    <row r="17" spans="1:38" s="152" customFormat="1" ht="6" customHeight="1" x14ac:dyDescent="0.35">
      <c r="D17" s="216"/>
      <c r="E17" s="313"/>
      <c r="F17" s="213"/>
      <c r="G17" s="313"/>
      <c r="H17" s="168"/>
      <c r="I17" s="168"/>
      <c r="J17" s="168"/>
      <c r="K17" s="371"/>
      <c r="L17" s="1784"/>
      <c r="M17" s="1785"/>
      <c r="N17" s="371"/>
      <c r="O17" s="168"/>
      <c r="P17" s="168"/>
      <c r="U17" s="313"/>
      <c r="V17" s="313"/>
      <c r="W17" s="313"/>
      <c r="Z17" s="214"/>
      <c r="AA17" s="214"/>
      <c r="AB17" s="214"/>
    </row>
    <row r="18" spans="1:38" s="152" customFormat="1" ht="15" customHeight="1" x14ac:dyDescent="0.35">
      <c r="A18" s="313"/>
      <c r="B18" s="161"/>
      <c r="C18" s="161"/>
      <c r="D18" s="1049" t="s">
        <v>214</v>
      </c>
      <c r="E18" s="162"/>
      <c r="F18" s="243"/>
      <c r="G18" s="2129"/>
      <c r="H18" s="170"/>
      <c r="I18" s="170"/>
      <c r="J18" s="170"/>
      <c r="K18" s="930"/>
      <c r="L18" s="930"/>
      <c r="M18" s="930"/>
      <c r="N18" s="930"/>
      <c r="O18" s="170"/>
      <c r="P18" s="170"/>
      <c r="U18" s="313"/>
      <c r="V18" s="313"/>
      <c r="W18" s="313"/>
      <c r="Z18" s="214"/>
      <c r="AA18" s="214"/>
      <c r="AB18" s="214"/>
    </row>
    <row r="19" spans="1:38" s="152" customFormat="1" ht="15" customHeight="1" x14ac:dyDescent="0.35">
      <c r="A19" s="313">
        <f>MAX($A$7:A18)+1</f>
        <v>9</v>
      </c>
      <c r="B19" s="161"/>
      <c r="C19" s="161"/>
      <c r="D19" s="216" t="s">
        <v>570</v>
      </c>
      <c r="E19" s="152" t="str">
        <f>"%"</f>
        <v>%</v>
      </c>
      <c r="F19" s="213" t="str">
        <f>"["&amp;A19&amp;"]"</f>
        <v>[9]</v>
      </c>
      <c r="G19" s="313" t="str">
        <f>'Cumulative Inflation'!$D$3</f>
        <v>Table B9</v>
      </c>
      <c r="H19" s="154">
        <f>_xlfn.XLOOKUP($H$7,'Cumulative Inflation'!$H$7:$J$7,'Cumulative Inflation'!$H18:$J18)-1</f>
        <v>-9.4455703920304224E-3</v>
      </c>
      <c r="I19" s="170"/>
      <c r="J19" s="170"/>
      <c r="K19" s="930"/>
      <c r="L19" s="930"/>
      <c r="M19" s="930"/>
      <c r="N19" s="930"/>
      <c r="O19" s="170"/>
      <c r="P19" s="170"/>
      <c r="U19" s="313"/>
      <c r="V19" s="313"/>
      <c r="W19" s="313"/>
      <c r="Z19" s="214"/>
      <c r="AA19" s="214"/>
      <c r="AB19" s="214"/>
    </row>
    <row r="20" spans="1:38" s="152" customFormat="1" ht="15" customHeight="1" x14ac:dyDescent="0.35">
      <c r="A20" s="313">
        <f>MAX($A$7:A19)+1</f>
        <v>10</v>
      </c>
      <c r="B20" s="161"/>
      <c r="C20" s="161"/>
      <c r="D20" s="216" t="s">
        <v>571</v>
      </c>
      <c r="E20" s="152" t="str">
        <f>"%"</f>
        <v>%</v>
      </c>
      <c r="F20" s="213" t="str">
        <f>"["&amp;A20&amp;"]"</f>
        <v>[10]</v>
      </c>
      <c r="G20" s="313" t="str">
        <f>'Cumulative Inflation'!$D$3</f>
        <v>Table B9</v>
      </c>
      <c r="H20" s="154">
        <f>_xlfn.XLOOKUP($H$7,'Cumulative Inflation'!$H$7:$J$7,'Cumulative Inflation'!$H19:$J19)-1</f>
        <v>1.5848171090196317E-2</v>
      </c>
      <c r="I20" s="170"/>
      <c r="J20" s="170"/>
      <c r="K20" s="170"/>
      <c r="L20" s="170"/>
      <c r="M20" s="170"/>
      <c r="N20" s="170"/>
      <c r="O20" s="170"/>
      <c r="P20" s="170"/>
      <c r="U20" s="313"/>
      <c r="V20" s="313"/>
      <c r="W20" s="313"/>
      <c r="Z20" s="214"/>
      <c r="AA20" s="214"/>
      <c r="AB20" s="214"/>
    </row>
    <row r="21" spans="1:38" s="152" customFormat="1" ht="15" customHeight="1" x14ac:dyDescent="0.35">
      <c r="A21" s="313">
        <f>MAX($A$7:A20)+1</f>
        <v>11</v>
      </c>
      <c r="B21" s="161"/>
      <c r="C21" s="161"/>
      <c r="D21" s="216" t="s">
        <v>572</v>
      </c>
      <c r="E21" s="152" t="str">
        <f>"%"</f>
        <v>%</v>
      </c>
      <c r="F21" s="213" t="str">
        <f>"["&amp;A21&amp;"]"</f>
        <v>[11]</v>
      </c>
      <c r="G21" s="313" t="str">
        <f>'Cumulative Inflation'!$D$3</f>
        <v>Table B9</v>
      </c>
      <c r="H21" s="154">
        <f>_xlfn.XLOOKUP($H$7,'Cumulative Inflation'!$H$7:$J$7,'Cumulative Inflation'!$H20:$J20)-1</f>
        <v>8.9329218702034474E-2</v>
      </c>
      <c r="I21" s="170"/>
      <c r="J21" s="170"/>
      <c r="K21" s="170"/>
      <c r="L21" s="170"/>
      <c r="M21" s="170"/>
      <c r="N21" s="170"/>
      <c r="O21" s="170"/>
      <c r="P21" s="170"/>
      <c r="U21" s="313"/>
      <c r="V21" s="313"/>
      <c r="W21" s="313"/>
      <c r="Z21" s="214"/>
      <c r="AA21" s="214"/>
      <c r="AB21" s="214"/>
    </row>
    <row r="22" spans="1:38" s="152" customFormat="1" ht="6" customHeight="1" x14ac:dyDescent="0.35">
      <c r="A22" s="313"/>
      <c r="D22" s="262"/>
      <c r="E22" s="263"/>
      <c r="F22" s="264"/>
      <c r="G22" s="265"/>
      <c r="H22" s="266"/>
      <c r="I22" s="266"/>
      <c r="J22" s="266"/>
      <c r="K22" s="266"/>
      <c r="L22" s="266"/>
      <c r="M22" s="266"/>
      <c r="N22" s="266"/>
      <c r="O22" s="266"/>
      <c r="P22" s="266"/>
      <c r="Q22" s="263"/>
      <c r="R22" s="263"/>
      <c r="S22" s="263"/>
      <c r="T22" s="263"/>
      <c r="U22" s="263"/>
      <c r="V22" s="263"/>
      <c r="X22" s="79"/>
      <c r="Y22" s="79"/>
      <c r="Z22" s="214"/>
      <c r="AA22" s="214"/>
      <c r="AB22" s="214"/>
      <c r="AC22" s="313"/>
      <c r="AD22" s="79"/>
    </row>
    <row r="23" spans="1:38" s="152" customFormat="1" ht="6" customHeight="1" x14ac:dyDescent="0.35">
      <c r="A23" s="313"/>
      <c r="D23" s="267"/>
      <c r="E23" s="268"/>
      <c r="F23" s="269"/>
      <c r="G23" s="270"/>
      <c r="H23" s="271"/>
      <c r="I23" s="271"/>
      <c r="J23" s="271"/>
      <c r="K23" s="271"/>
      <c r="L23" s="271"/>
      <c r="M23" s="271"/>
      <c r="N23" s="271"/>
      <c r="O23" s="271"/>
      <c r="P23" s="271"/>
      <c r="Q23" s="268"/>
      <c r="R23" s="268"/>
      <c r="S23" s="268"/>
      <c r="T23" s="268"/>
      <c r="U23" s="268"/>
      <c r="V23" s="268"/>
      <c r="X23" s="79"/>
      <c r="Y23" s="79"/>
      <c r="Z23" s="214"/>
      <c r="AA23" s="214"/>
      <c r="AB23" s="214"/>
      <c r="AC23" s="313"/>
      <c r="AD23" s="79"/>
    </row>
    <row r="24" spans="1:38" s="1663" customFormat="1" ht="30" customHeight="1" x14ac:dyDescent="0.35">
      <c r="A24" s="152"/>
      <c r="B24" s="152"/>
      <c r="C24" s="152"/>
      <c r="D24" s="162"/>
      <c r="E24" s="161"/>
      <c r="F24" s="161"/>
      <c r="G24" s="2129"/>
      <c r="H24" s="1153" t="s">
        <v>537</v>
      </c>
      <c r="I24" s="233"/>
      <c r="J24" s="233"/>
      <c r="K24" s="1662" t="s">
        <v>149</v>
      </c>
      <c r="L24" s="1662"/>
      <c r="M24" s="1662"/>
      <c r="N24" s="1662"/>
      <c r="O24" s="1662"/>
      <c r="P24" s="301"/>
      <c r="Q24" s="302"/>
      <c r="R24" s="1662" t="s">
        <v>152</v>
      </c>
      <c r="S24" s="1662"/>
      <c r="T24" s="1662"/>
      <c r="U24" s="1662"/>
      <c r="V24" s="1662"/>
      <c r="W24" s="232"/>
      <c r="Z24" s="341"/>
      <c r="AA24" s="341"/>
      <c r="AB24" s="341"/>
    </row>
    <row r="25" spans="1:38" s="152" customFormat="1" ht="6" customHeight="1" x14ac:dyDescent="0.35">
      <c r="D25" s="162"/>
      <c r="E25" s="161"/>
      <c r="F25" s="161"/>
      <c r="G25" s="2129"/>
      <c r="H25" s="233"/>
      <c r="I25" s="233"/>
      <c r="J25" s="233"/>
      <c r="K25" s="360"/>
      <c r="L25" s="360"/>
      <c r="M25" s="360"/>
      <c r="N25" s="360"/>
      <c r="O25" s="360"/>
      <c r="P25" s="301"/>
      <c r="Q25" s="302"/>
      <c r="R25" s="360"/>
      <c r="S25" s="360"/>
      <c r="T25" s="360"/>
      <c r="U25" s="360"/>
      <c r="V25" s="360"/>
      <c r="W25" s="232"/>
      <c r="Z25" s="214"/>
      <c r="AA25" s="214"/>
      <c r="AB25" s="214"/>
    </row>
    <row r="26" spans="1:38" s="152" customFormat="1" ht="15" customHeight="1" x14ac:dyDescent="0.35">
      <c r="A26" s="272"/>
      <c r="B26" s="272"/>
      <c r="C26" s="272"/>
      <c r="D26" s="273"/>
      <c r="E26" s="273"/>
      <c r="F26" s="273"/>
      <c r="G26" s="273"/>
      <c r="H26" s="274" t="str">
        <f>"["&amp;CHAR(H1)&amp;"]"</f>
        <v>[A]</v>
      </c>
      <c r="I26" s="274"/>
      <c r="J26" s="274"/>
      <c r="K26" s="274" t="str">
        <f>"["&amp;CHAR(K1)&amp;"]"</f>
        <v>[B]</v>
      </c>
      <c r="L26" s="274" t="str">
        <f>"["&amp;CHAR(L1)&amp;"]"</f>
        <v>[C]</v>
      </c>
      <c r="M26" s="274" t="str">
        <f>"["&amp;CHAR(M1)&amp;"]"</f>
        <v>[D]</v>
      </c>
      <c r="N26" s="274" t="str">
        <f>"["&amp;CHAR(N1)&amp;"]"</f>
        <v>[E]</v>
      </c>
      <c r="O26" s="274" t="str">
        <f>"["&amp;CHAR(O1)&amp;"]"</f>
        <v>[F]</v>
      </c>
      <c r="P26" s="274"/>
      <c r="Q26" s="274"/>
      <c r="R26" s="274" t="str">
        <f>"["&amp;CHAR(R1)&amp;"]"</f>
        <v>[G]</v>
      </c>
      <c r="S26" s="274" t="str">
        <f>"["&amp;CHAR(S1)&amp;"]"</f>
        <v>[H]</v>
      </c>
      <c r="T26" s="274" t="str">
        <f>"["&amp;CHAR(T1)&amp;"]"</f>
        <v>[I]</v>
      </c>
      <c r="U26" s="274" t="str">
        <f>"["&amp;CHAR(U1)&amp;"]"</f>
        <v>[J]</v>
      </c>
      <c r="V26" s="274" t="str">
        <f>"["&amp;CHAR(V1)&amp;"]"</f>
        <v>[K]</v>
      </c>
      <c r="W26" s="274"/>
      <c r="X26" s="272"/>
      <c r="Y26" s="272"/>
      <c r="Z26" s="275"/>
      <c r="AA26" s="275"/>
      <c r="AB26" s="275"/>
      <c r="AC26" s="272"/>
      <c r="AD26" s="272"/>
      <c r="AE26" s="272"/>
      <c r="AF26" s="272"/>
      <c r="AG26" s="272"/>
      <c r="AH26" s="272"/>
      <c r="AI26" s="272"/>
      <c r="AJ26" s="272"/>
      <c r="AK26" s="272"/>
      <c r="AL26" s="272"/>
    </row>
    <row r="27" spans="1:38" s="152" customFormat="1" ht="15" customHeight="1" x14ac:dyDescent="0.35">
      <c r="D27" s="162"/>
      <c r="E27" s="161"/>
      <c r="F27" s="161"/>
      <c r="G27" s="2129"/>
      <c r="H27" s="234" t="s">
        <v>10</v>
      </c>
      <c r="I27" s="234"/>
      <c r="J27" s="234"/>
      <c r="K27" s="166" t="str">
        <f>YEAR(Control!$H$18)&amp;"$"</f>
        <v>2025$</v>
      </c>
      <c r="L27" s="166" t="str">
        <f>YEAR(Control!$H$18)&amp;"$"</f>
        <v>2025$</v>
      </c>
      <c r="M27" s="166" t="str">
        <f>YEAR(Control!$H$18)&amp;"$"</f>
        <v>2025$</v>
      </c>
      <c r="N27" s="166" t="str">
        <f>YEAR(Control!$H$18)&amp;"$"</f>
        <v>2025$</v>
      </c>
      <c r="O27" s="166" t="str">
        <f>YEAR(Control!$H$18)&amp;"$"</f>
        <v>2025$</v>
      </c>
      <c r="P27" s="257"/>
      <c r="Q27" s="354"/>
      <c r="R27" s="166" t="s">
        <v>259</v>
      </c>
      <c r="S27" s="166" t="s">
        <v>259</v>
      </c>
      <c r="T27" s="166" t="s">
        <v>259</v>
      </c>
      <c r="U27" s="166" t="s">
        <v>259</v>
      </c>
      <c r="V27" s="166" t="s">
        <v>259</v>
      </c>
      <c r="W27" s="166"/>
      <c r="Z27" s="214"/>
      <c r="AA27" s="214"/>
      <c r="AB27" s="214"/>
    </row>
    <row r="28" spans="1:38" s="152" customFormat="1" ht="15" customHeight="1" x14ac:dyDescent="0.35">
      <c r="D28" s="162"/>
      <c r="E28" s="161"/>
      <c r="F28" s="161"/>
      <c r="G28" s="2129"/>
      <c r="H28" s="166" t="s">
        <v>39</v>
      </c>
      <c r="I28" s="166"/>
      <c r="J28" s="166"/>
      <c r="K28" s="166"/>
      <c r="L28" s="166"/>
      <c r="M28" s="166"/>
      <c r="N28" s="166"/>
      <c r="O28" s="166"/>
      <c r="P28" s="257"/>
      <c r="Q28" s="257"/>
      <c r="R28" s="166" t="s">
        <v>39</v>
      </c>
      <c r="S28" s="166" t="s">
        <v>39</v>
      </c>
      <c r="T28" s="166" t="s">
        <v>39</v>
      </c>
      <c r="U28" s="166" t="s">
        <v>39</v>
      </c>
      <c r="V28" s="166" t="s">
        <v>39</v>
      </c>
      <c r="W28" s="166"/>
      <c r="X28" s="1055"/>
      <c r="Y28" s="1055"/>
      <c r="Z28" s="214"/>
      <c r="AA28" s="214"/>
      <c r="AB28" s="214"/>
    </row>
    <row r="29" spans="1:38" s="152" customFormat="1" ht="6" customHeight="1" x14ac:dyDescent="0.35">
      <c r="D29" s="159"/>
      <c r="E29" s="155"/>
      <c r="F29" s="155"/>
      <c r="G29" s="159"/>
      <c r="H29" s="155"/>
      <c r="I29" s="204"/>
      <c r="J29" s="204"/>
      <c r="K29" s="159"/>
      <c r="L29" s="159"/>
      <c r="M29" s="159"/>
      <c r="N29" s="159"/>
      <c r="O29" s="159"/>
      <c r="P29" s="246"/>
      <c r="Q29" s="204"/>
      <c r="R29" s="155"/>
      <c r="S29" s="155"/>
      <c r="T29" s="155"/>
      <c r="U29" s="159"/>
      <c r="V29" s="159"/>
      <c r="W29" s="246"/>
      <c r="Z29" s="214"/>
      <c r="AA29" s="214"/>
      <c r="AB29" s="214"/>
    </row>
    <row r="30" spans="1:38" s="152" customFormat="1" ht="6" customHeight="1" x14ac:dyDescent="0.35">
      <c r="D30" s="246"/>
      <c r="E30" s="204"/>
      <c r="F30" s="204"/>
      <c r="G30" s="246"/>
      <c r="H30" s="204"/>
      <c r="I30" s="204"/>
      <c r="J30" s="204"/>
      <c r="K30" s="246"/>
      <c r="L30" s="246"/>
      <c r="M30" s="246"/>
      <c r="N30" s="246"/>
      <c r="O30" s="246"/>
      <c r="P30" s="246"/>
      <c r="Q30" s="204"/>
      <c r="R30" s="204"/>
      <c r="S30" s="204"/>
      <c r="T30" s="204"/>
      <c r="U30" s="246"/>
      <c r="V30" s="246"/>
      <c r="W30" s="246"/>
      <c r="Z30" s="214"/>
      <c r="AA30" s="214"/>
      <c r="AB30" s="214"/>
    </row>
    <row r="31" spans="1:38" s="152" customFormat="1" ht="15" customHeight="1" x14ac:dyDescent="0.35">
      <c r="A31" s="313"/>
      <c r="D31" s="2201" t="s">
        <v>298</v>
      </c>
      <c r="F31" s="213"/>
      <c r="G31" s="313"/>
      <c r="K31" s="220" t="s">
        <v>288</v>
      </c>
      <c r="L31" s="220" t="s">
        <v>289</v>
      </c>
      <c r="M31" s="220" t="s">
        <v>290</v>
      </c>
      <c r="N31" s="220" t="s">
        <v>291</v>
      </c>
      <c r="O31" s="220" t="s">
        <v>299</v>
      </c>
      <c r="P31" s="154"/>
      <c r="R31" s="220" t="s">
        <v>288</v>
      </c>
      <c r="S31" s="220" t="s">
        <v>289</v>
      </c>
      <c r="T31" s="220" t="s">
        <v>290</v>
      </c>
      <c r="U31" s="220" t="s">
        <v>291</v>
      </c>
      <c r="V31" s="220" t="s">
        <v>299</v>
      </c>
      <c r="X31" s="79"/>
      <c r="Y31" s="79"/>
      <c r="Z31" s="214"/>
      <c r="AA31" s="214"/>
      <c r="AB31" s="214"/>
      <c r="AC31" s="313"/>
      <c r="AD31" s="79"/>
    </row>
    <row r="32" spans="1:38" s="152" customFormat="1" ht="15" customHeight="1" x14ac:dyDescent="0.35">
      <c r="A32" s="313"/>
      <c r="D32" s="2201"/>
      <c r="F32" s="213"/>
      <c r="G32" s="313"/>
      <c r="K32" s="248">
        <v>1</v>
      </c>
      <c r="L32" s="248">
        <v>2</v>
      </c>
      <c r="M32" s="248">
        <v>3</v>
      </c>
      <c r="N32" s="248">
        <v>4</v>
      </c>
      <c r="O32" s="248">
        <v>5</v>
      </c>
      <c r="P32" s="154"/>
      <c r="R32" s="248">
        <v>1</v>
      </c>
      <c r="S32" s="248">
        <v>2</v>
      </c>
      <c r="T32" s="248">
        <v>3</v>
      </c>
      <c r="U32" s="248">
        <v>4</v>
      </c>
      <c r="V32" s="248">
        <v>5</v>
      </c>
      <c r="X32" s="79"/>
      <c r="Y32" s="79"/>
      <c r="Z32" s="214"/>
      <c r="AA32" s="214"/>
      <c r="AB32" s="214"/>
      <c r="AC32" s="313"/>
      <c r="AD32" s="79"/>
    </row>
    <row r="33" spans="1:30" s="152" customFormat="1" ht="15" customHeight="1" x14ac:dyDescent="0.35">
      <c r="A33" s="313"/>
      <c r="D33" s="1050" t="s">
        <v>208</v>
      </c>
      <c r="F33" s="213"/>
      <c r="G33" s="313"/>
      <c r="K33" s="248"/>
      <c r="L33" s="248"/>
      <c r="M33" s="248"/>
      <c r="N33" s="248"/>
      <c r="O33" s="248"/>
      <c r="P33" s="154"/>
      <c r="R33" s="248"/>
      <c r="S33" s="248"/>
      <c r="T33" s="248"/>
      <c r="U33" s="248"/>
      <c r="V33" s="248"/>
      <c r="X33" s="79"/>
      <c r="Y33" s="79"/>
      <c r="Z33" s="214"/>
      <c r="AA33" s="214"/>
      <c r="AB33" s="214"/>
      <c r="AC33" s="313"/>
      <c r="AD33" s="79"/>
    </row>
    <row r="34" spans="1:30" s="152" customFormat="1" ht="6" customHeight="1" x14ac:dyDescent="0.35">
      <c r="A34" s="313"/>
      <c r="D34" s="1050"/>
      <c r="F34" s="213"/>
      <c r="G34" s="313"/>
      <c r="K34" s="248"/>
      <c r="L34" s="248"/>
      <c r="M34" s="248"/>
      <c r="N34" s="248"/>
      <c r="O34" s="248"/>
      <c r="P34" s="154"/>
      <c r="R34" s="248"/>
      <c r="S34" s="248"/>
      <c r="T34" s="248"/>
      <c r="U34" s="248"/>
      <c r="V34" s="248"/>
      <c r="X34" s="79"/>
      <c r="Y34" s="79"/>
      <c r="Z34" s="214"/>
      <c r="AA34" s="214"/>
      <c r="AB34" s="214"/>
      <c r="AC34" s="313"/>
      <c r="AD34" s="79"/>
    </row>
    <row r="35" spans="1:30" s="152" customFormat="1" ht="15" customHeight="1" x14ac:dyDescent="0.35">
      <c r="A35" s="313">
        <f>MAX($A$8:A34)+1</f>
        <v>12</v>
      </c>
      <c r="D35" s="215" t="str">
        <f>Control!$D$42</f>
        <v>Net Summer Capacity</v>
      </c>
      <c r="E35" s="152" t="s">
        <v>4</v>
      </c>
      <c r="F35" s="213" t="str">
        <f>"["&amp;A35&amp;"]"</f>
        <v>[12]</v>
      </c>
      <c r="G35" s="313" t="str">
        <f>'S&amp;L CC+CT - Cost Assumptions'!$D$3</f>
        <v>Table C7</v>
      </c>
      <c r="I35" s="288"/>
      <c r="J35" s="288"/>
      <c r="K35" s="391">
        <f>INDEX('S&amp;L CC+CT - Cost Assumptions'!$K$17:$O$64,MATCH($Z35,'S&amp;L CC+CT - Cost Assumptions'!$D$17:$D$59,0),MATCH(K$31,'S&amp;L CC+CT - Cost Assumptions'!$K$7:$O$7,0))</f>
        <v>1289.1210000000001</v>
      </c>
      <c r="L35" s="391">
        <f>INDEX('S&amp;L CC+CT - Cost Assumptions'!$K$17:$O$64,MATCH($Z35,'S&amp;L CC+CT - Cost Assumptions'!$D$17:$D$59,0),MATCH(L$31,'S&amp;L CC+CT - Cost Assumptions'!$K$7:$O$7,0))</f>
        <v>1289.296</v>
      </c>
      <c r="M35" s="391">
        <f>INDEX('S&amp;L CC+CT - Cost Assumptions'!$K$17:$O$64,MATCH($Z35,'S&amp;L CC+CT - Cost Assumptions'!$D$17:$D$59,0),MATCH(M$31,'S&amp;L CC+CT - Cost Assumptions'!$K$7:$O$7,0))</f>
        <v>1276.144</v>
      </c>
      <c r="N35" s="391">
        <f>INDEX('S&amp;L CC+CT - Cost Assumptions'!$K$17:$O$64,MATCH($Z35,'S&amp;L CC+CT - Cost Assumptions'!$D$17:$D$59,0),MATCH(N$31,'S&amp;L CC+CT - Cost Assumptions'!$K$7:$O$7,0))</f>
        <v>1263.559</v>
      </c>
      <c r="O35" s="391">
        <f>INDEX('S&amp;L CC+CT - Cost Assumptions'!$K$17:$O$64,MATCH($Z35,'S&amp;L CC+CT - Cost Assumptions'!$D$17:$D$59,0),MATCH(O$31,'S&amp;L CC+CT - Cost Assumptions'!$K$7:$O$7,0))</f>
        <v>1293.8</v>
      </c>
      <c r="P35" s="204"/>
      <c r="Q35" s="204"/>
      <c r="R35" s="391">
        <f>INDEX('S&amp;L CC+CT - Cost Assumptions'!$K$17:$O$64,MATCH($Z35,'S&amp;L CC+CT - Cost Assumptions'!$D$17:$D$59,0),MATCH(R$31,'S&amp;L CC+CT - Cost Assumptions'!$K$7:$O$7,0))</f>
        <v>1289.1210000000001</v>
      </c>
      <c r="S35" s="391">
        <f>INDEX('S&amp;L CC+CT - Cost Assumptions'!$K$17:$O$64,MATCH($Z35,'S&amp;L CC+CT - Cost Assumptions'!$D$17:$D$59,0),MATCH(S$31,'S&amp;L CC+CT - Cost Assumptions'!$K$7:$O$7,0))</f>
        <v>1289.296</v>
      </c>
      <c r="T35" s="391">
        <f>INDEX('S&amp;L CC+CT - Cost Assumptions'!$K$17:$O$64,MATCH($Z35,'S&amp;L CC+CT - Cost Assumptions'!$D$17:$D$59,0),MATCH(T$31,'S&amp;L CC+CT - Cost Assumptions'!$K$7:$O$7,0))</f>
        <v>1276.144</v>
      </c>
      <c r="U35" s="391">
        <f>INDEX('S&amp;L CC+CT - Cost Assumptions'!$K$17:$O$64,MATCH($Z35,'S&amp;L CC+CT - Cost Assumptions'!$D$17:$D$59,0),MATCH(U$31,'S&amp;L CC+CT - Cost Assumptions'!$K$7:$O$7,0))</f>
        <v>1263.559</v>
      </c>
      <c r="V35" s="391">
        <f>INDEX('S&amp;L CC+CT - Cost Assumptions'!$K$17:$O$64,MATCH($Z35,'S&amp;L CC+CT - Cost Assumptions'!$D$17:$D$59,0),MATCH(V$31,'S&amp;L CC+CT - Cost Assumptions'!$K$7:$O$7,0))</f>
        <v>1293.8</v>
      </c>
      <c r="W35" s="313"/>
      <c r="Z35" s="219" t="str">
        <f>'S&amp;L CC+CT - Cost Assumptions'!$D$17</f>
        <v>Net Plant Capacity - Max Summer</v>
      </c>
      <c r="AA35" s="214"/>
      <c r="AB35" s="214"/>
    </row>
    <row r="36" spans="1:30" s="152" customFormat="1" ht="15" customHeight="1" x14ac:dyDescent="0.35">
      <c r="A36" s="313">
        <f>MAX($A$8:A35)+1</f>
        <v>13</v>
      </c>
      <c r="D36" s="215" t="str">
        <f>'Working Cap and Tax Rates'!$D$21</f>
        <v>Sales and Use Tax Rate, State</v>
      </c>
      <c r="E36" s="152" t="str">
        <f>"%"</f>
        <v>%</v>
      </c>
      <c r="F36" s="213" t="str">
        <f>"["&amp;A36&amp;"]"</f>
        <v>[13]</v>
      </c>
      <c r="G36" s="313" t="str">
        <f>'Working Cap and Tax Rates'!$D$3</f>
        <v>Table C1</v>
      </c>
      <c r="I36" s="288"/>
      <c r="J36" s="288"/>
      <c r="K36" s="1077">
        <f>_xlfn.XLOOKUP(K$31,'Working Cap and Tax Rates'!$G$16:$K$16,'Working Cap and Tax Rates'!$G$21:$K$21)</f>
        <v>0</v>
      </c>
      <c r="L36" s="1077">
        <f>_xlfn.XLOOKUP(L$31,'Working Cap and Tax Rates'!$G$16:$K$16,'Working Cap and Tax Rates'!$G$21:$K$21)</f>
        <v>0</v>
      </c>
      <c r="M36" s="1077">
        <f>_xlfn.XLOOKUP(M$31,'Working Cap and Tax Rates'!$G$16:$K$16,'Working Cap and Tax Rates'!$G$21:$K$21)</f>
        <v>0</v>
      </c>
      <c r="N36" s="1077">
        <f>_xlfn.XLOOKUP(N$31,'Working Cap and Tax Rates'!$G$16:$K$16,'Working Cap and Tax Rates'!$G$21:$K$21)</f>
        <v>0</v>
      </c>
      <c r="O36" s="1077">
        <f>_xlfn.XLOOKUP(O$31,'Working Cap and Tax Rates'!$G$16:$K$16,'Working Cap and Tax Rates'!$G$21:$K$21)</f>
        <v>6.25E-2</v>
      </c>
      <c r="P36" s="204"/>
      <c r="Q36" s="204"/>
      <c r="R36" s="1077">
        <f>_xlfn.XLOOKUP(R$31,'Working Cap and Tax Rates'!$G$16:$K$16,'Working Cap and Tax Rates'!$G$21:$K$21)</f>
        <v>0</v>
      </c>
      <c r="S36" s="1077">
        <f>_xlfn.XLOOKUP(S$31,'Working Cap and Tax Rates'!$G$16:$K$16,'Working Cap and Tax Rates'!$G$21:$K$21)</f>
        <v>0</v>
      </c>
      <c r="T36" s="1077">
        <f>_xlfn.XLOOKUP(T$31,'Working Cap and Tax Rates'!$G$16:$K$16,'Working Cap and Tax Rates'!$G$21:$K$21)</f>
        <v>0</v>
      </c>
      <c r="U36" s="1077">
        <f>_xlfn.XLOOKUP(U$31,'Working Cap and Tax Rates'!$G$16:$K$16,'Working Cap and Tax Rates'!$G$21:$K$21)</f>
        <v>0</v>
      </c>
      <c r="V36" s="1077">
        <f>_xlfn.XLOOKUP(V$31,'Working Cap and Tax Rates'!$G$16:$K$16,'Working Cap and Tax Rates'!$G$21:$K$21)</f>
        <v>6.25E-2</v>
      </c>
      <c r="W36" s="313"/>
      <c r="Z36" s="219"/>
      <c r="AA36" s="214"/>
      <c r="AB36" s="214"/>
    </row>
    <row r="37" spans="1:30" s="152" customFormat="1" ht="6" customHeight="1" x14ac:dyDescent="0.35">
      <c r="A37" s="313"/>
      <c r="D37" s="279"/>
      <c r="E37" s="263"/>
      <c r="F37" s="264"/>
      <c r="G37" s="265"/>
      <c r="H37" s="155"/>
      <c r="I37" s="295"/>
      <c r="J37" s="295"/>
      <c r="K37" s="280"/>
      <c r="L37" s="280"/>
      <c r="M37" s="280"/>
      <c r="N37" s="280"/>
      <c r="O37" s="296"/>
      <c r="P37" s="204"/>
      <c r="Q37" s="204"/>
      <c r="R37" s="280"/>
      <c r="S37" s="280"/>
      <c r="T37" s="280"/>
      <c r="U37" s="280"/>
      <c r="V37" s="296"/>
      <c r="W37" s="313"/>
      <c r="Z37" s="219"/>
      <c r="AA37" s="214"/>
      <c r="AB37" s="214"/>
    </row>
    <row r="38" spans="1:30" s="152" customFormat="1" ht="6" customHeight="1" x14ac:dyDescent="0.35">
      <c r="D38" s="270"/>
      <c r="E38" s="268"/>
      <c r="F38" s="269"/>
      <c r="G38" s="270"/>
      <c r="I38" s="295"/>
      <c r="J38" s="295"/>
      <c r="K38" s="281"/>
      <c r="L38" s="281"/>
      <c r="M38" s="281"/>
      <c r="N38" s="281"/>
      <c r="O38" s="295"/>
      <c r="P38" s="204"/>
      <c r="R38" s="281"/>
      <c r="S38" s="281"/>
      <c r="T38" s="281"/>
      <c r="U38" s="281"/>
      <c r="V38" s="295"/>
      <c r="W38" s="313"/>
      <c r="Z38" s="214"/>
      <c r="AA38" s="214"/>
      <c r="AB38" s="214"/>
    </row>
    <row r="39" spans="1:30" s="152" customFormat="1" ht="15" customHeight="1" x14ac:dyDescent="0.35">
      <c r="A39" s="313"/>
      <c r="D39" s="162" t="s">
        <v>390</v>
      </c>
      <c r="F39" s="213"/>
      <c r="G39" s="313"/>
      <c r="K39" s="153"/>
      <c r="L39" s="153"/>
      <c r="M39" s="153"/>
      <c r="N39" s="153"/>
      <c r="O39" s="153"/>
      <c r="P39" s="356"/>
      <c r="Q39" s="204"/>
      <c r="U39" s="313"/>
      <c r="V39" s="313"/>
      <c r="W39" s="313"/>
      <c r="Y39" s="79"/>
      <c r="Z39" s="214"/>
      <c r="AA39" s="214"/>
      <c r="AB39" s="49" t="s">
        <v>336</v>
      </c>
    </row>
    <row r="40" spans="1:30" s="152" customFormat="1" ht="15" customHeight="1" x14ac:dyDescent="0.35">
      <c r="A40" s="313"/>
      <c r="D40" s="291" t="str">
        <f>Z40</f>
        <v>Owner Furnished Equipment</v>
      </c>
      <c r="F40" s="213"/>
      <c r="G40" s="313"/>
      <c r="H40" s="313"/>
      <c r="K40" s="153"/>
      <c r="L40" s="153"/>
      <c r="M40" s="153"/>
      <c r="N40" s="153"/>
      <c r="O40" s="153"/>
      <c r="P40" s="356"/>
      <c r="Q40" s="204"/>
      <c r="U40" s="313"/>
      <c r="V40" s="313"/>
      <c r="W40" s="313"/>
      <c r="Y40" s="79"/>
      <c r="Z40" s="214" t="str">
        <f>'S&amp;L CC+CT - Capital Costs'!$D15</f>
        <v>Owner Furnished Equipment</v>
      </c>
      <c r="AA40" s="214"/>
      <c r="AB40" s="49"/>
    </row>
    <row r="41" spans="1:30" s="152" customFormat="1" ht="15" customHeight="1" x14ac:dyDescent="0.35">
      <c r="A41" s="313">
        <f>MAX($A$8:A40)+1</f>
        <v>14</v>
      </c>
      <c r="D41" s="215" t="str">
        <f t="shared" ref="D41:D58" si="1">Z41</f>
        <v>Gas Turbines</v>
      </c>
      <c r="E41" s="152" t="s">
        <v>42</v>
      </c>
      <c r="F41" s="213" t="str">
        <f>"["&amp;A41&amp;"]"</f>
        <v>[14]</v>
      </c>
      <c r="G41" s="313" t="str">
        <f>'S&amp;L CC+CT - Capital Costs'!$D$3</f>
        <v>Table C8</v>
      </c>
      <c r="H41" s="168">
        <f>IF($AA41=$Z$2,$H$19,IF($AA41=$Z$3, $H$20, ""))</f>
        <v>-9.4455703920304224E-3</v>
      </c>
      <c r="K41" s="153">
        <f>INDEX('S&amp;L CC+CT - Capital Costs'!$L$16:$P$56,MATCH($Z41,'S&amp;L CC+CT - Capital Costs'!$D$16:$D$56,0),MATCH(K$31,'S&amp;L CC+CT - Capital Costs'!$L$8:$P$8,0))</f>
        <v>299000000</v>
      </c>
      <c r="L41" s="153">
        <f>INDEX('S&amp;L CC+CT - Capital Costs'!$L$16:$P$56,MATCH($Z41,'S&amp;L CC+CT - Capital Costs'!$D$16:$D$56,0),MATCH(L$31,'S&amp;L CC+CT - Capital Costs'!$L$8:$P$8,0))</f>
        <v>299000000</v>
      </c>
      <c r="M41" s="153">
        <f>INDEX('S&amp;L CC+CT - Capital Costs'!$L$16:$P$56,MATCH($Z41,'S&amp;L CC+CT - Capital Costs'!$D$16:$D$56,0),MATCH(M$31,'S&amp;L CC+CT - Capital Costs'!$L$8:$P$8,0))</f>
        <v>299000000</v>
      </c>
      <c r="N41" s="153">
        <f>INDEX('S&amp;L CC+CT - Capital Costs'!$L$16:$P$56,MATCH($Z41,'S&amp;L CC+CT - Capital Costs'!$D$16:$D$56,0),MATCH(N$31,'S&amp;L CC+CT - Capital Costs'!$L$8:$P$8,0))</f>
        <v>299000000</v>
      </c>
      <c r="O41" s="153">
        <f>INDEX('S&amp;L CC+CT - Capital Costs'!$L$16:$P$56,MATCH($Z41,'S&amp;L CC+CT - Capital Costs'!$D$16:$D$56,0),MATCH(O$31,'S&amp;L CC+CT - Capital Costs'!$L$8:$P$8,0))</f>
        <v>299000000</v>
      </c>
      <c r="P41" s="356"/>
      <c r="Q41" s="204"/>
      <c r="R41" s="1152">
        <f t="shared" ref="R41:V43" si="2">K41*(1+$H41)</f>
        <v>296175774.45278293</v>
      </c>
      <c r="S41" s="1152">
        <f t="shared" si="2"/>
        <v>296175774.45278293</v>
      </c>
      <c r="T41" s="1152">
        <f t="shared" si="2"/>
        <v>296175774.45278293</v>
      </c>
      <c r="U41" s="1152">
        <f t="shared" si="2"/>
        <v>296175774.45278293</v>
      </c>
      <c r="V41" s="1152">
        <f t="shared" si="2"/>
        <v>296175774.45278293</v>
      </c>
      <c r="W41" s="313"/>
      <c r="Y41" s="79"/>
      <c r="Z41" s="214" t="str">
        <f>'S&amp;L CC+CT - Capital Costs'!$D16</f>
        <v>Gas Turbines</v>
      </c>
      <c r="AA41" s="214" t="s">
        <v>585</v>
      </c>
      <c r="AB41" s="383" t="s">
        <v>338</v>
      </c>
    </row>
    <row r="42" spans="1:30" s="152" customFormat="1" ht="15" customHeight="1" x14ac:dyDescent="0.35">
      <c r="A42" s="313">
        <f>MAX($A$8:A41)+1</f>
        <v>15</v>
      </c>
      <c r="D42" s="215" t="str">
        <f t="shared" si="1"/>
        <v>HRSG / SCR</v>
      </c>
      <c r="E42" s="152" t="s">
        <v>42</v>
      </c>
      <c r="F42" s="213" t="str">
        <f>"["&amp;A42&amp;"]"</f>
        <v>[15]</v>
      </c>
      <c r="G42" s="313" t="str">
        <f>'S&amp;L CC+CT - Capital Costs'!$D$3</f>
        <v>Table C8</v>
      </c>
      <c r="H42" s="168">
        <f>IF($AA42=$Z$2,$H$19,IF($AA42=$Z$3, $H$20, ""))</f>
        <v>-9.4455703920304224E-3</v>
      </c>
      <c r="K42" s="153">
        <f>INDEX('S&amp;L CC+CT - Capital Costs'!$L$16:$P$56,MATCH($Z42,'S&amp;L CC+CT - Capital Costs'!$D$16:$D$56,0),MATCH(K$31,'S&amp;L CC+CT - Capital Costs'!$L$8:$P$8,0))</f>
        <v>121000000</v>
      </c>
      <c r="L42" s="153">
        <f>INDEX('S&amp;L CC+CT - Capital Costs'!$L$16:$P$56,MATCH($Z42,'S&amp;L CC+CT - Capital Costs'!$D$16:$D$56,0),MATCH(L$31,'S&amp;L CC+CT - Capital Costs'!$L$8:$P$8,0))</f>
        <v>121000000</v>
      </c>
      <c r="M42" s="153">
        <f>INDEX('S&amp;L CC+CT - Capital Costs'!$L$16:$P$56,MATCH($Z42,'S&amp;L CC+CT - Capital Costs'!$D$16:$D$56,0),MATCH(M$31,'S&amp;L CC+CT - Capital Costs'!$L$8:$P$8,0))</f>
        <v>121000000</v>
      </c>
      <c r="N42" s="153">
        <f>INDEX('S&amp;L CC+CT - Capital Costs'!$L$16:$P$56,MATCH($Z42,'S&amp;L CC+CT - Capital Costs'!$D$16:$D$56,0),MATCH(N$31,'S&amp;L CC+CT - Capital Costs'!$L$8:$P$8,0))</f>
        <v>121000000</v>
      </c>
      <c r="O42" s="153">
        <f>INDEX('S&amp;L CC+CT - Capital Costs'!$L$16:$P$56,MATCH($Z42,'S&amp;L CC+CT - Capital Costs'!$D$16:$D$56,0),MATCH(O$31,'S&amp;L CC+CT - Capital Costs'!$L$8:$P$8,0))</f>
        <v>121000000</v>
      </c>
      <c r="P42" s="356"/>
      <c r="Q42" s="204"/>
      <c r="R42" s="1152">
        <f t="shared" si="2"/>
        <v>119857085.98256432</v>
      </c>
      <c r="S42" s="1152">
        <f t="shared" si="2"/>
        <v>119857085.98256432</v>
      </c>
      <c r="T42" s="1152">
        <f t="shared" si="2"/>
        <v>119857085.98256432</v>
      </c>
      <c r="U42" s="1152">
        <f t="shared" si="2"/>
        <v>119857085.98256432</v>
      </c>
      <c r="V42" s="1152">
        <f t="shared" si="2"/>
        <v>119857085.98256432</v>
      </c>
      <c r="W42" s="313"/>
      <c r="Y42" s="79"/>
      <c r="Z42" s="214" t="str">
        <f>'S&amp;L CC+CT - Capital Costs'!$D17</f>
        <v>HRSG / SCR</v>
      </c>
      <c r="AA42" s="214" t="s">
        <v>585</v>
      </c>
      <c r="AB42" s="383" t="s">
        <v>338</v>
      </c>
    </row>
    <row r="43" spans="1:30" s="152" customFormat="1" ht="15" customHeight="1" x14ac:dyDescent="0.35">
      <c r="A43" s="313">
        <f>MAX($A$8:A42)+1</f>
        <v>16</v>
      </c>
      <c r="D43" s="215" t="str">
        <f t="shared" si="1"/>
        <v>Steam Turbines</v>
      </c>
      <c r="E43" s="152" t="s">
        <v>42</v>
      </c>
      <c r="F43" s="213" t="str">
        <f>"["&amp;A43&amp;"]"</f>
        <v>[16]</v>
      </c>
      <c r="G43" s="313" t="str">
        <f>'S&amp;L CC+CT - Capital Costs'!$D$3</f>
        <v>Table C8</v>
      </c>
      <c r="H43" s="168">
        <f>IF($AA43=$Z$2,$H$19,IF($AA43=$Z$3, $H$20, ""))</f>
        <v>-9.4455703920304224E-3</v>
      </c>
      <c r="K43" s="153">
        <f>INDEX('S&amp;L CC+CT - Capital Costs'!$L$16:$P$56,MATCH($Z43,'S&amp;L CC+CT - Capital Costs'!$D$16:$D$56,0),MATCH(K$31,'S&amp;L CC+CT - Capital Costs'!$L$8:$P$8,0))</f>
        <v>127000000</v>
      </c>
      <c r="L43" s="153">
        <f>INDEX('S&amp;L CC+CT - Capital Costs'!$L$16:$P$56,MATCH($Z43,'S&amp;L CC+CT - Capital Costs'!$D$16:$D$56,0),MATCH(L$31,'S&amp;L CC+CT - Capital Costs'!$L$8:$P$8,0))</f>
        <v>127000000</v>
      </c>
      <c r="M43" s="153">
        <f>INDEX('S&amp;L CC+CT - Capital Costs'!$L$16:$P$56,MATCH($Z43,'S&amp;L CC+CT - Capital Costs'!$D$16:$D$56,0),MATCH(M$31,'S&amp;L CC+CT - Capital Costs'!$L$8:$P$8,0))</f>
        <v>127000000</v>
      </c>
      <c r="N43" s="153">
        <f>INDEX('S&amp;L CC+CT - Capital Costs'!$L$16:$P$56,MATCH($Z43,'S&amp;L CC+CT - Capital Costs'!$D$16:$D$56,0),MATCH(N$31,'S&amp;L CC+CT - Capital Costs'!$L$8:$P$8,0))</f>
        <v>127000000</v>
      </c>
      <c r="O43" s="153">
        <f>INDEX('S&amp;L CC+CT - Capital Costs'!$L$16:$P$56,MATCH($Z43,'S&amp;L CC+CT - Capital Costs'!$D$16:$D$56,0),MATCH(O$31,'S&amp;L CC+CT - Capital Costs'!$L$8:$P$8,0))</f>
        <v>127000000</v>
      </c>
      <c r="P43" s="356"/>
      <c r="Q43" s="204"/>
      <c r="R43" s="1152">
        <f t="shared" si="2"/>
        <v>125800412.56021214</v>
      </c>
      <c r="S43" s="1152">
        <f t="shared" si="2"/>
        <v>125800412.56021214</v>
      </c>
      <c r="T43" s="1152">
        <f t="shared" si="2"/>
        <v>125800412.56021214</v>
      </c>
      <c r="U43" s="1152">
        <f t="shared" si="2"/>
        <v>125800412.56021214</v>
      </c>
      <c r="V43" s="1152">
        <f t="shared" si="2"/>
        <v>125800412.56021214</v>
      </c>
      <c r="W43" s="313"/>
      <c r="Y43" s="79"/>
      <c r="Z43" s="214" t="str">
        <f>'S&amp;L CC+CT - Capital Costs'!$D18</f>
        <v>Steam Turbines</v>
      </c>
      <c r="AA43" s="214" t="s">
        <v>585</v>
      </c>
      <c r="AB43" s="383" t="s">
        <v>338</v>
      </c>
    </row>
    <row r="44" spans="1:30" s="152" customFormat="1" ht="15" customHeight="1" x14ac:dyDescent="0.35">
      <c r="A44" s="313">
        <f>MAX($A$8:A43)+1</f>
        <v>17</v>
      </c>
      <c r="D44" s="215" t="str">
        <f t="shared" si="1"/>
        <v>Sales Tax</v>
      </c>
      <c r="E44" s="152" t="s">
        <v>42</v>
      </c>
      <c r="F44" s="213" t="str">
        <f>"["&amp;A44&amp;"]"</f>
        <v>[17]</v>
      </c>
      <c r="G44" s="313" t="str">
        <f>F36&amp;" x SUM("&amp;F41&amp;":"&amp;F43&amp;")"</f>
        <v>[13] x SUM([14]:[16])</v>
      </c>
      <c r="H44" s="168" t="str">
        <f>IF($AA44=$Z$2,$H$19,IF($AA44=$Z$3, $H$20, ""))</f>
        <v/>
      </c>
      <c r="J44" s="313"/>
      <c r="K44" s="276">
        <f>K36*SUM(K41:K43)</f>
        <v>0</v>
      </c>
      <c r="L44" s="276">
        <f>L36*SUM(L41:L43)</f>
        <v>0</v>
      </c>
      <c r="M44" s="276">
        <f>M36*SUM(M41:M43)</f>
        <v>0</v>
      </c>
      <c r="N44" s="276">
        <f>N36*SUM(N41:N43)</f>
        <v>0</v>
      </c>
      <c r="O44" s="276">
        <f>O36*SUM(O41:O43)</f>
        <v>34187500</v>
      </c>
      <c r="P44" s="356"/>
      <c r="Q44" s="246"/>
      <c r="R44" s="276">
        <f>R36*SUM(R41:R43)</f>
        <v>0</v>
      </c>
      <c r="S44" s="276">
        <f>S36*SUM(S41:S43)</f>
        <v>0</v>
      </c>
      <c r="T44" s="276">
        <f>T36*SUM(T41:T43)</f>
        <v>0</v>
      </c>
      <c r="U44" s="276">
        <f>U36*SUM(U41:U43)</f>
        <v>0</v>
      </c>
      <c r="V44" s="276">
        <f>V36*SUM(V41:V43)</f>
        <v>33864579.562222466</v>
      </c>
      <c r="W44" s="313"/>
      <c r="Y44" s="79"/>
      <c r="Z44" s="214" t="str">
        <f>'S&amp;L CC+CT - Capital Costs'!$D19</f>
        <v>Sales Tax</v>
      </c>
      <c r="AA44" s="214"/>
      <c r="AB44" s="383" t="s">
        <v>338</v>
      </c>
    </row>
    <row r="45" spans="1:30" s="152" customFormat="1" ht="15" customHeight="1" x14ac:dyDescent="0.35">
      <c r="A45" s="313">
        <f>MAX($A$8:A44)+1</f>
        <v>18</v>
      </c>
      <c r="D45" s="1019" t="str">
        <f t="shared" si="1"/>
        <v>Total Owner Furnished Equipment</v>
      </c>
      <c r="E45" s="161" t="s">
        <v>42</v>
      </c>
      <c r="F45" s="224" t="str">
        <f>"["&amp;A45&amp;"]"</f>
        <v>[18]</v>
      </c>
      <c r="G45" s="2129" t="str">
        <f>"SUM("&amp;F41&amp;":"&amp;F44&amp;")"</f>
        <v>SUM([14]:[17])</v>
      </c>
      <c r="H45" s="168" t="str">
        <f>IF($AA45=$Z$2,$H$19,IF($AA45=$Z$3, $H$20, ""))</f>
        <v/>
      </c>
      <c r="I45" s="161"/>
      <c r="J45" s="161"/>
      <c r="K45" s="164">
        <f>SUM(K41:K44)</f>
        <v>547000000</v>
      </c>
      <c r="L45" s="164">
        <f>SUM(L41:L44)</f>
        <v>547000000</v>
      </c>
      <c r="M45" s="164">
        <f>SUM(M41:M44)</f>
        <v>547000000</v>
      </c>
      <c r="N45" s="164">
        <f>SUM(N41:N44)</f>
        <v>547000000</v>
      </c>
      <c r="O45" s="164">
        <f>SUM(O41:O44)</f>
        <v>581187500</v>
      </c>
      <c r="P45" s="358"/>
      <c r="Q45" s="283"/>
      <c r="R45" s="153">
        <f>SUM(R41:R44)</f>
        <v>541833272.99555945</v>
      </c>
      <c r="S45" s="153">
        <f>SUM(S41:S44)</f>
        <v>541833272.99555945</v>
      </c>
      <c r="T45" s="153">
        <f>SUM(T41:T44)</f>
        <v>541833272.99555945</v>
      </c>
      <c r="U45" s="153">
        <f>SUM(U41:U44)</f>
        <v>541833272.99555945</v>
      </c>
      <c r="V45" s="153">
        <f>SUM(V41:V44)</f>
        <v>575697852.55778193</v>
      </c>
      <c r="W45" s="313"/>
      <c r="Y45" s="79"/>
      <c r="Z45" s="214" t="str">
        <f>'S&amp;L CC+CT - Capital Costs'!$D20</f>
        <v>Total Owner Furnished Equipment</v>
      </c>
      <c r="AA45" s="214"/>
      <c r="AB45" s="49"/>
    </row>
    <row r="46" spans="1:30" s="152" customFormat="1" ht="6" customHeight="1" x14ac:dyDescent="0.35">
      <c r="D46" s="162"/>
      <c r="F46" s="213"/>
      <c r="G46" s="313"/>
      <c r="K46" s="153"/>
      <c r="L46" s="153"/>
      <c r="M46" s="153"/>
      <c r="N46" s="153"/>
      <c r="O46" s="153"/>
      <c r="P46" s="356"/>
      <c r="Q46" s="204"/>
      <c r="R46" s="313"/>
      <c r="S46" s="313"/>
      <c r="T46" s="313"/>
      <c r="U46" s="313"/>
      <c r="V46" s="313"/>
      <c r="W46" s="313"/>
      <c r="Y46" s="79"/>
      <c r="Z46" s="214"/>
      <c r="AA46" s="214"/>
      <c r="AB46" s="49"/>
    </row>
    <row r="47" spans="1:30" s="152" customFormat="1" ht="15" customHeight="1" x14ac:dyDescent="0.35">
      <c r="A47" s="313"/>
      <c r="D47" s="291" t="str">
        <f t="shared" si="1"/>
        <v>EPC Costs</v>
      </c>
      <c r="F47" s="213"/>
      <c r="G47" s="313"/>
      <c r="K47" s="153"/>
      <c r="L47" s="153"/>
      <c r="M47" s="153"/>
      <c r="N47" s="153"/>
      <c r="O47" s="153"/>
      <c r="P47" s="356"/>
      <c r="Q47" s="204"/>
      <c r="R47" s="313"/>
      <c r="S47" s="313"/>
      <c r="T47" s="313"/>
      <c r="U47" s="313"/>
      <c r="V47" s="313"/>
      <c r="W47" s="313"/>
      <c r="Y47" s="79"/>
      <c r="Z47" s="214" t="str">
        <f>'S&amp;L CC+CT - Capital Costs'!$D22</f>
        <v>EPC Costs</v>
      </c>
      <c r="AA47" s="214"/>
      <c r="AB47" s="49"/>
    </row>
    <row r="48" spans="1:30" s="152" customFormat="1" ht="15" customHeight="1" x14ac:dyDescent="0.35">
      <c r="A48" s="313">
        <f>MAX($A$8:A47)+1</f>
        <v>19</v>
      </c>
      <c r="D48" s="215" t="str">
        <f t="shared" si="1"/>
        <v>Condenser</v>
      </c>
      <c r="E48" s="152" t="s">
        <v>42</v>
      </c>
      <c r="F48" s="213" t="str">
        <f t="shared" ref="F48:F55" si="3">"["&amp;A48&amp;"]"</f>
        <v>[19]</v>
      </c>
      <c r="G48" s="313" t="str">
        <f>'S&amp;L CC+CT - Capital Costs'!$D$3</f>
        <v>Table C8</v>
      </c>
      <c r="H48" s="168">
        <f t="shared" ref="H48:H56" si="4">IF($AA48=$Z$2,$H$19,IF($AA48=$Z$3, $H$20, ""))</f>
        <v>-9.4455703920304224E-3</v>
      </c>
      <c r="K48" s="153">
        <f>INDEX('S&amp;L CC+CT - Capital Costs'!$L$16:$P$56,MATCH($Z48,'S&amp;L CC+CT - Capital Costs'!$D$16:$D$56,0),MATCH(K$31,'S&amp;L CC+CT - Capital Costs'!$L$8:$P$8,0))</f>
        <v>72305000</v>
      </c>
      <c r="L48" s="153">
        <f>INDEX('S&amp;L CC+CT - Capital Costs'!$L$16:$P$56,MATCH($Z48,'S&amp;L CC+CT - Capital Costs'!$D$16:$D$56,0),MATCH(L$31,'S&amp;L CC+CT - Capital Costs'!$L$8:$P$8,0))</f>
        <v>72305000</v>
      </c>
      <c r="M48" s="153">
        <f>INDEX('S&amp;L CC+CT - Capital Costs'!$L$16:$P$56,MATCH($Z48,'S&amp;L CC+CT - Capital Costs'!$D$16:$D$56,0),MATCH(M$31,'S&amp;L CC+CT - Capital Costs'!$L$8:$P$8,0))</f>
        <v>72305000</v>
      </c>
      <c r="N48" s="153">
        <f>INDEX('S&amp;L CC+CT - Capital Costs'!$L$16:$P$56,MATCH($Z48,'S&amp;L CC+CT - Capital Costs'!$D$16:$D$56,0),MATCH(N$31,'S&amp;L CC+CT - Capital Costs'!$L$8:$P$8,0))</f>
        <v>72305000</v>
      </c>
      <c r="O48" s="153">
        <f>INDEX('S&amp;L CC+CT - Capital Costs'!$L$16:$P$56,MATCH($Z48,'S&amp;L CC+CT - Capital Costs'!$D$16:$D$56,0),MATCH(O$31,'S&amp;L CC+CT - Capital Costs'!$L$8:$P$8,0))</f>
        <v>72305000</v>
      </c>
      <c r="P48" s="356"/>
      <c r="Q48" s="204"/>
      <c r="R48" s="1152">
        <f t="shared" ref="R48:V52" si="5">K48*(1+$H48)</f>
        <v>71622038.032804236</v>
      </c>
      <c r="S48" s="1152">
        <f t="shared" si="5"/>
        <v>71622038.032804236</v>
      </c>
      <c r="T48" s="1152">
        <f t="shared" si="5"/>
        <v>71622038.032804236</v>
      </c>
      <c r="U48" s="1152">
        <f t="shared" si="5"/>
        <v>71622038.032804236</v>
      </c>
      <c r="V48" s="1152">
        <f t="shared" si="5"/>
        <v>71622038.032804236</v>
      </c>
      <c r="W48" s="313"/>
      <c r="Y48" s="79"/>
      <c r="Z48" s="214" t="str">
        <f>'S&amp;L CC+CT - Capital Costs'!$D24</f>
        <v>Condenser</v>
      </c>
      <c r="AA48" s="214" t="s">
        <v>585</v>
      </c>
      <c r="AB48" s="48" t="s">
        <v>338</v>
      </c>
    </row>
    <row r="49" spans="1:28" s="152" customFormat="1" ht="15" customHeight="1" x14ac:dyDescent="0.35">
      <c r="A49" s="313">
        <f>MAX($A$8:A48)+1</f>
        <v>20</v>
      </c>
      <c r="D49" s="215" t="str">
        <f t="shared" si="1"/>
        <v>Other Equipment</v>
      </c>
      <c r="E49" s="152" t="s">
        <v>42</v>
      </c>
      <c r="F49" s="213" t="str">
        <f t="shared" si="3"/>
        <v>[20]</v>
      </c>
      <c r="G49" s="313" t="str">
        <f>'S&amp;L CC+CT - Capital Costs'!$D$3</f>
        <v>Table C8</v>
      </c>
      <c r="H49" s="168">
        <f t="shared" si="4"/>
        <v>-9.4455703920304224E-3</v>
      </c>
      <c r="I49" s="154"/>
      <c r="J49" s="154"/>
      <c r="K49" s="153">
        <f>INDEX('S&amp;L CC+CT - Capital Costs'!$L$16:$P$56,MATCH($Z49,'S&amp;L CC+CT - Capital Costs'!$D$16:$D$56,0),MATCH(K$31,'S&amp;L CC+CT - Capital Costs'!$L$8:$P$8,0))</f>
        <v>105006000</v>
      </c>
      <c r="L49" s="153">
        <f>INDEX('S&amp;L CC+CT - Capital Costs'!$L$16:$P$56,MATCH($Z49,'S&amp;L CC+CT - Capital Costs'!$D$16:$D$56,0),MATCH(L$31,'S&amp;L CC+CT - Capital Costs'!$L$8:$P$8,0))</f>
        <v>105006000</v>
      </c>
      <c r="M49" s="153">
        <f>INDEX('S&amp;L CC+CT - Capital Costs'!$L$16:$P$56,MATCH($Z49,'S&amp;L CC+CT - Capital Costs'!$D$16:$D$56,0),MATCH(M$31,'S&amp;L CC+CT - Capital Costs'!$L$8:$P$8,0))</f>
        <v>105006000</v>
      </c>
      <c r="N49" s="153">
        <f>INDEX('S&amp;L CC+CT - Capital Costs'!$L$16:$P$56,MATCH($Z49,'S&amp;L CC+CT - Capital Costs'!$D$16:$D$56,0),MATCH(N$31,'S&amp;L CC+CT - Capital Costs'!$L$8:$P$8,0))</f>
        <v>105006000</v>
      </c>
      <c r="O49" s="153">
        <f>INDEX('S&amp;L CC+CT - Capital Costs'!$L$16:$P$56,MATCH($Z49,'S&amp;L CC+CT - Capital Costs'!$D$16:$D$56,0),MATCH(O$31,'S&amp;L CC+CT - Capital Costs'!$L$8:$P$8,0))</f>
        <v>105006000</v>
      </c>
      <c r="P49" s="356"/>
      <c r="Q49" s="328"/>
      <c r="R49" s="1152">
        <f t="shared" si="5"/>
        <v>104014158.43541445</v>
      </c>
      <c r="S49" s="1152">
        <f t="shared" si="5"/>
        <v>104014158.43541445</v>
      </c>
      <c r="T49" s="1152">
        <f t="shared" si="5"/>
        <v>104014158.43541445</v>
      </c>
      <c r="U49" s="1152">
        <f t="shared" si="5"/>
        <v>104014158.43541445</v>
      </c>
      <c r="V49" s="1152">
        <f t="shared" si="5"/>
        <v>104014158.43541445</v>
      </c>
      <c r="W49" s="153"/>
      <c r="X49" s="156"/>
      <c r="Y49" s="79"/>
      <c r="Z49" s="214" t="str">
        <f>'S&amp;L CC+CT - Capital Costs'!$D25</f>
        <v>Other Equipment</v>
      </c>
      <c r="AA49" s="214" t="s">
        <v>585</v>
      </c>
      <c r="AB49" s="48" t="s">
        <v>338</v>
      </c>
    </row>
    <row r="50" spans="1:28" s="152" customFormat="1" ht="15" customHeight="1" x14ac:dyDescent="0.35">
      <c r="A50" s="313">
        <f>MAX($A$8:A49)+1</f>
        <v>21</v>
      </c>
      <c r="D50" s="215" t="str">
        <f t="shared" si="1"/>
        <v>Construction Labor</v>
      </c>
      <c r="E50" s="152" t="s">
        <v>42</v>
      </c>
      <c r="F50" s="213" t="str">
        <f t="shared" si="3"/>
        <v>[21]</v>
      </c>
      <c r="G50" s="313" t="str">
        <f>'S&amp;L CC+CT - Capital Costs'!$D$3</f>
        <v>Table C8</v>
      </c>
      <c r="H50" s="168">
        <f t="shared" si="4"/>
        <v>1.5848171090196317E-2</v>
      </c>
      <c r="I50" s="154"/>
      <c r="J50" s="154"/>
      <c r="K50" s="153">
        <f>INDEX('S&amp;L CC+CT - Capital Costs'!$L$16:$P$56,MATCH($Z50,'S&amp;L CC+CT - Capital Costs'!$D$16:$D$56,0),MATCH(K$31,'S&amp;L CC+CT - Capital Costs'!$L$8:$P$8,0))</f>
        <v>488850000</v>
      </c>
      <c r="L50" s="153">
        <f>INDEX('S&amp;L CC+CT - Capital Costs'!$L$16:$P$56,MATCH($Z50,'S&amp;L CC+CT - Capital Costs'!$D$16:$D$56,0),MATCH(L$31,'S&amp;L CC+CT - Capital Costs'!$L$8:$P$8,0))</f>
        <v>388521000</v>
      </c>
      <c r="M50" s="153">
        <f>INDEX('S&amp;L CC+CT - Capital Costs'!$L$16:$P$56,MATCH($Z50,'S&amp;L CC+CT - Capital Costs'!$D$16:$D$56,0),MATCH(M$31,'S&amp;L CC+CT - Capital Costs'!$L$8:$P$8,0))</f>
        <v>389576000</v>
      </c>
      <c r="N50" s="153">
        <f>INDEX('S&amp;L CC+CT - Capital Costs'!$L$16:$P$56,MATCH($Z50,'S&amp;L CC+CT - Capital Costs'!$D$16:$D$56,0),MATCH(N$31,'S&amp;L CC+CT - Capital Costs'!$L$8:$P$8,0))</f>
        <v>430248000</v>
      </c>
      <c r="O50" s="153">
        <f>INDEX('S&amp;L CC+CT - Capital Costs'!$L$16:$P$56,MATCH($Z50,'S&amp;L CC+CT - Capital Costs'!$D$16:$D$56,0),MATCH(O$31,'S&amp;L CC+CT - Capital Costs'!$L$8:$P$8,0))</f>
        <v>561514000</v>
      </c>
      <c r="P50" s="356"/>
      <c r="Q50" s="328"/>
      <c r="R50" s="1152">
        <f t="shared" si="5"/>
        <v>496597378.43744248</v>
      </c>
      <c r="S50" s="1152">
        <f t="shared" si="5"/>
        <v>394678347.28013414</v>
      </c>
      <c r="T50" s="1152">
        <f t="shared" si="5"/>
        <v>395750067.10063434</v>
      </c>
      <c r="U50" s="1152">
        <f t="shared" si="5"/>
        <v>437066643.91521478</v>
      </c>
      <c r="V50" s="1152">
        <f t="shared" si="5"/>
        <v>570412969.94154048</v>
      </c>
      <c r="W50" s="153"/>
      <c r="X50" s="156"/>
      <c r="Y50" s="79"/>
      <c r="Z50" s="214" t="str">
        <f>'S&amp;L CC+CT - Capital Costs'!$D27</f>
        <v>Construction Labor</v>
      </c>
      <c r="AA50" s="219" t="s">
        <v>515</v>
      </c>
      <c r="AB50" s="48" t="s">
        <v>338</v>
      </c>
    </row>
    <row r="51" spans="1:28" s="313" customFormat="1" ht="15" customHeight="1" x14ac:dyDescent="0.35">
      <c r="A51" s="313">
        <f>MAX($A$8:A50)+1</f>
        <v>22</v>
      </c>
      <c r="D51" s="215" t="str">
        <f t="shared" si="1"/>
        <v xml:space="preserve">Other Labor </v>
      </c>
      <c r="E51" s="313" t="s">
        <v>42</v>
      </c>
      <c r="F51" s="312" t="str">
        <f t="shared" si="3"/>
        <v>[22]</v>
      </c>
      <c r="G51" s="313" t="str">
        <f>'S&amp;L CC+CT - Capital Costs'!$D$3</f>
        <v>Table C8</v>
      </c>
      <c r="H51" s="168">
        <f t="shared" si="4"/>
        <v>1.5848171090196317E-2</v>
      </c>
      <c r="I51" s="154"/>
      <c r="J51" s="154"/>
      <c r="K51" s="153">
        <f>INDEX('S&amp;L CC+CT - Capital Costs'!$L$16:$P$56,MATCH($Z51,'S&amp;L CC+CT - Capital Costs'!$D$16:$D$56,0),MATCH(K$31,'S&amp;L CC+CT - Capital Costs'!$L$8:$P$8,0))</f>
        <v>73741000</v>
      </c>
      <c r="L51" s="153">
        <f>INDEX('S&amp;L CC+CT - Capital Costs'!$L$16:$P$56,MATCH($Z51,'S&amp;L CC+CT - Capital Costs'!$D$16:$D$56,0),MATCH(L$31,'S&amp;L CC+CT - Capital Costs'!$L$8:$P$8,0))</f>
        <v>69226000</v>
      </c>
      <c r="M51" s="153">
        <f>INDEX('S&amp;L CC+CT - Capital Costs'!$L$16:$P$56,MATCH($Z51,'S&amp;L CC+CT - Capital Costs'!$D$16:$D$56,0),MATCH(M$31,'S&amp;L CC+CT - Capital Costs'!$L$8:$P$8,0))</f>
        <v>69274000</v>
      </c>
      <c r="N51" s="153">
        <f>INDEX('S&amp;L CC+CT - Capital Costs'!$L$16:$P$56,MATCH($Z51,'S&amp;L CC+CT - Capital Costs'!$D$16:$D$56,0),MATCH(N$31,'S&amp;L CC+CT - Capital Costs'!$L$8:$P$8,0))</f>
        <v>71104000</v>
      </c>
      <c r="O51" s="153">
        <f>INDEX('S&amp;L CC+CT - Capital Costs'!$L$16:$P$56,MATCH($Z51,'S&amp;L CC+CT - Capital Costs'!$D$16:$D$56,0),MATCH(O$31,'S&amp;L CC+CT - Capital Costs'!$L$8:$P$8,0))</f>
        <v>77011000</v>
      </c>
      <c r="P51" s="356"/>
      <c r="Q51" s="328"/>
      <c r="R51" s="1152">
        <f t="shared" si="5"/>
        <v>74909659.98436217</v>
      </c>
      <c r="S51" s="1152">
        <f t="shared" si="5"/>
        <v>70323105.491889924</v>
      </c>
      <c r="T51" s="1152">
        <f t="shared" si="5"/>
        <v>70371866.204102263</v>
      </c>
      <c r="U51" s="1152">
        <f t="shared" si="5"/>
        <v>72230868.357197315</v>
      </c>
      <c r="V51" s="1152">
        <f t="shared" si="5"/>
        <v>78231483.50382711</v>
      </c>
      <c r="W51" s="153"/>
      <c r="X51" s="153"/>
      <c r="Y51" s="144"/>
      <c r="Z51" s="214" t="str">
        <f>'S&amp;L CC+CT - Capital Costs'!$D28</f>
        <v xml:space="preserve">Other Labor </v>
      </c>
      <c r="AA51" s="219" t="s">
        <v>515</v>
      </c>
      <c r="AB51" s="48" t="s">
        <v>338</v>
      </c>
    </row>
    <row r="52" spans="1:28" s="152" customFormat="1" ht="15" customHeight="1" x14ac:dyDescent="0.35">
      <c r="A52" s="313">
        <f>MAX($A$8:A51)+1</f>
        <v>23</v>
      </c>
      <c r="D52" s="215" t="str">
        <f t="shared" si="1"/>
        <v>Materials</v>
      </c>
      <c r="E52" s="152" t="s">
        <v>42</v>
      </c>
      <c r="F52" s="213" t="str">
        <f t="shared" si="3"/>
        <v>[23]</v>
      </c>
      <c r="G52" s="313" t="str">
        <f>'S&amp;L CC+CT - Capital Costs'!$D$3</f>
        <v>Table C8</v>
      </c>
      <c r="H52" s="168">
        <f t="shared" si="4"/>
        <v>1.5848171090196317E-2</v>
      </c>
      <c r="I52" s="154"/>
      <c r="J52" s="154"/>
      <c r="K52" s="153">
        <f>INDEX('S&amp;L CC+CT - Capital Costs'!$L$16:$P$56,MATCH($Z52,'S&amp;L CC+CT - Capital Costs'!$D$16:$D$56,0),MATCH(K$31,'S&amp;L CC+CT - Capital Costs'!$L$8:$P$8,0))</f>
        <v>100777000</v>
      </c>
      <c r="L52" s="153">
        <f>INDEX('S&amp;L CC+CT - Capital Costs'!$L$16:$P$56,MATCH($Z52,'S&amp;L CC+CT - Capital Costs'!$D$16:$D$56,0),MATCH(L$31,'S&amp;L CC+CT - Capital Costs'!$L$8:$P$8,0))</f>
        <v>100777000</v>
      </c>
      <c r="M52" s="153">
        <f>INDEX('S&amp;L CC+CT - Capital Costs'!$L$16:$P$56,MATCH($Z52,'S&amp;L CC+CT - Capital Costs'!$D$16:$D$56,0),MATCH(M$31,'S&amp;L CC+CT - Capital Costs'!$L$8:$P$8,0))</f>
        <v>100777000</v>
      </c>
      <c r="N52" s="153">
        <f>INDEX('S&amp;L CC+CT - Capital Costs'!$L$16:$P$56,MATCH($Z52,'S&amp;L CC+CT - Capital Costs'!$D$16:$D$56,0),MATCH(N$31,'S&amp;L CC+CT - Capital Costs'!$L$8:$P$8,0))</f>
        <v>100777000</v>
      </c>
      <c r="O52" s="153">
        <f>INDEX('S&amp;L CC+CT - Capital Costs'!$L$16:$P$56,MATCH($Z52,'S&amp;L CC+CT - Capital Costs'!$D$16:$D$56,0),MATCH(O$31,'S&amp;L CC+CT - Capital Costs'!$L$8:$P$8,0))</f>
        <v>100777000</v>
      </c>
      <c r="P52" s="356"/>
      <c r="Q52" s="328"/>
      <c r="R52" s="1152">
        <f t="shared" si="5"/>
        <v>102374131.13795671</v>
      </c>
      <c r="S52" s="1152">
        <f t="shared" si="5"/>
        <v>102374131.13795671</v>
      </c>
      <c r="T52" s="1152">
        <f t="shared" si="5"/>
        <v>102374131.13795671</v>
      </c>
      <c r="U52" s="1152">
        <f t="shared" si="5"/>
        <v>102374131.13795671</v>
      </c>
      <c r="V52" s="1152">
        <f t="shared" si="5"/>
        <v>102374131.13795671</v>
      </c>
      <c r="W52" s="153"/>
      <c r="X52" s="156"/>
      <c r="Y52" s="79"/>
      <c r="Z52" s="214" t="str">
        <f>'S&amp;L CC+CT - Capital Costs'!$D29</f>
        <v>Materials</v>
      </c>
      <c r="AA52" s="219" t="s">
        <v>515</v>
      </c>
      <c r="AB52" s="48" t="s">
        <v>337</v>
      </c>
    </row>
    <row r="53" spans="1:28" s="152" customFormat="1" ht="15" customHeight="1" x14ac:dyDescent="0.35">
      <c r="A53" s="313">
        <f>MAX($A$8:A52)+1</f>
        <v>24</v>
      </c>
      <c r="D53" s="215" t="str">
        <f t="shared" si="1"/>
        <v>Sales Tax</v>
      </c>
      <c r="E53" s="152" t="s">
        <v>42</v>
      </c>
      <c r="F53" s="213" t="str">
        <f t="shared" si="3"/>
        <v>[24]</v>
      </c>
      <c r="G53" s="313" t="str">
        <f>F36&amp;" x ("&amp;F48&amp;" + "&amp;F49&amp;")"</f>
        <v>[13] x ([19] + [20])</v>
      </c>
      <c r="H53" s="168" t="str">
        <f t="shared" si="4"/>
        <v/>
      </c>
      <c r="I53" s="154"/>
      <c r="J53" s="154"/>
      <c r="K53" s="153">
        <f>K36*(K48+K49)</f>
        <v>0</v>
      </c>
      <c r="L53" s="153">
        <f>L36*(L48+L49)</f>
        <v>0</v>
      </c>
      <c r="M53" s="153">
        <f>M36*(M48+M49)</f>
        <v>0</v>
      </c>
      <c r="N53" s="153">
        <f>N36*(N48+N49)</f>
        <v>0</v>
      </c>
      <c r="O53" s="153">
        <f>O36*(O48+O49)</f>
        <v>11081937.5</v>
      </c>
      <c r="P53" s="356"/>
      <c r="Q53" s="328"/>
      <c r="R53" s="153">
        <f>R36*(R48+R49)</f>
        <v>0</v>
      </c>
      <c r="S53" s="153">
        <f>S36*(S48+S49)</f>
        <v>0</v>
      </c>
      <c r="T53" s="153">
        <f>T36*(T48+T49)</f>
        <v>0</v>
      </c>
      <c r="U53" s="153">
        <f>U36*(U48+U49)</f>
        <v>0</v>
      </c>
      <c r="V53" s="153">
        <f>V36*(V48+V49)</f>
        <v>10977262.279263668</v>
      </c>
      <c r="W53" s="153"/>
      <c r="X53" s="156"/>
      <c r="Y53" s="79"/>
      <c r="Z53" s="214" t="str">
        <f>'S&amp;L CC+CT - Capital Costs'!$D30</f>
        <v>Sales Tax</v>
      </c>
      <c r="AA53" s="214"/>
      <c r="AB53" s="48" t="s">
        <v>338</v>
      </c>
    </row>
    <row r="54" spans="1:28" s="152" customFormat="1" ht="15" customHeight="1" x14ac:dyDescent="0.35">
      <c r="A54" s="313">
        <f>MAX($A$8:A53)+1</f>
        <v>25</v>
      </c>
      <c r="D54" s="215" t="str">
        <f t="shared" si="1"/>
        <v>EPC Contractor Fee</v>
      </c>
      <c r="E54" s="152" t="s">
        <v>42</v>
      </c>
      <c r="F54" s="213" t="str">
        <f t="shared" si="3"/>
        <v>[25]</v>
      </c>
      <c r="G54" s="168" t="str">
        <f>F10&amp;" x SUM("&amp;$F$45&amp;":"&amp;$F53&amp;")"</f>
        <v>[2] x SUM([18]:[24])</v>
      </c>
      <c r="H54" s="168" t="str">
        <f t="shared" si="4"/>
        <v/>
      </c>
      <c r="I54" s="154"/>
      <c r="J54" s="154"/>
      <c r="K54" s="153">
        <f>$H10*SUM(K45,K48:K53)</f>
        <v>138767900</v>
      </c>
      <c r="L54" s="153">
        <f>$H10*SUM(L45,L48:L53)</f>
        <v>128283500</v>
      </c>
      <c r="M54" s="153">
        <f>$H10*SUM(M45,M48:M53)</f>
        <v>128393800</v>
      </c>
      <c r="N54" s="153">
        <f>$H10*SUM(N45,N48:N53)</f>
        <v>132644000</v>
      </c>
      <c r="O54" s="153">
        <f>$H10*SUM(O45,O48:O53)</f>
        <v>150888243.75</v>
      </c>
      <c r="P54" s="356"/>
      <c r="Q54" s="328"/>
      <c r="R54" s="153">
        <f>$H10*SUM(R45,R48:R53)</f>
        <v>139135063.90235394</v>
      </c>
      <c r="S54" s="153">
        <f>$H10*SUM(S45,S48:S53)</f>
        <v>128484505.33737588</v>
      </c>
      <c r="T54" s="153">
        <f>$H10*SUM(T45,T48:T53)</f>
        <v>128596553.39064716</v>
      </c>
      <c r="U54" s="153">
        <f>$H10*SUM(U45,U48:U53)</f>
        <v>132914111.2874147</v>
      </c>
      <c r="V54" s="153">
        <f>$H10*SUM(V45,V48:V53)</f>
        <v>151332989.58885887</v>
      </c>
      <c r="W54" s="153"/>
      <c r="X54" s="156"/>
      <c r="Y54" s="79"/>
      <c r="Z54" s="214" t="str">
        <f>'S&amp;L CC+CT - Capital Costs'!$D31</f>
        <v>EPC Contractor Fee</v>
      </c>
      <c r="AA54" s="214"/>
      <c r="AB54" s="48" t="s">
        <v>338</v>
      </c>
    </row>
    <row r="55" spans="1:28" s="152" customFormat="1" ht="15" customHeight="1" x14ac:dyDescent="0.35">
      <c r="A55" s="313">
        <f>MAX($A$8:A54)+1</f>
        <v>26</v>
      </c>
      <c r="D55" s="215" t="str">
        <f t="shared" si="1"/>
        <v>EPC Contingency</v>
      </c>
      <c r="E55" s="152" t="s">
        <v>42</v>
      </c>
      <c r="F55" s="213" t="str">
        <f t="shared" si="3"/>
        <v>[26]</v>
      </c>
      <c r="G55" s="168" t="str">
        <f>F11&amp;" x SUM("&amp;$F$45&amp;":"&amp;$F54&amp;")"</f>
        <v>[3] x SUM([18]:[25])</v>
      </c>
      <c r="H55" s="168" t="str">
        <f t="shared" si="4"/>
        <v/>
      </c>
      <c r="I55" s="160"/>
      <c r="J55" s="160"/>
      <c r="K55" s="153">
        <f>$H11*SUM(K45,K48:K54)</f>
        <v>152644690</v>
      </c>
      <c r="L55" s="153">
        <f>$H11*SUM(L45,L48:L54)</f>
        <v>141111850</v>
      </c>
      <c r="M55" s="153">
        <f>$H11*SUM(M45,M48:M54)</f>
        <v>141233180</v>
      </c>
      <c r="N55" s="153">
        <f>$H11*SUM(N45,N48:N54)</f>
        <v>145908400</v>
      </c>
      <c r="O55" s="153">
        <f>$H11*SUM(O45,O48:O54)</f>
        <v>165977068.125</v>
      </c>
      <c r="P55" s="356"/>
      <c r="Q55" s="357"/>
      <c r="R55" s="153">
        <f>$H11*SUM(R45,R48:R54)</f>
        <v>153048570.29258934</v>
      </c>
      <c r="S55" s="153">
        <f>$H11*SUM(S45,S48:S54)</f>
        <v>141332955.87111348</v>
      </c>
      <c r="T55" s="153">
        <f>$H11*SUM(T45,T48:T54)</f>
        <v>141456208.72971186</v>
      </c>
      <c r="U55" s="153">
        <f>$H11*SUM(U45,U48:U54)</f>
        <v>146205522.41615617</v>
      </c>
      <c r="V55" s="153">
        <f>$H11*SUM(V45,V48:V54)</f>
        <v>166466288.54774475</v>
      </c>
      <c r="W55" s="153"/>
      <c r="X55" s="156"/>
      <c r="Y55" s="79"/>
      <c r="Z55" s="214" t="str">
        <f>'S&amp;L CC+CT - Capital Costs'!$D32</f>
        <v>EPC Contingency</v>
      </c>
      <c r="AA55" s="214"/>
      <c r="AB55" s="48" t="s">
        <v>338</v>
      </c>
    </row>
    <row r="56" spans="1:28" s="152" customFormat="1" ht="15" customHeight="1" x14ac:dyDescent="0.35">
      <c r="A56" s="313">
        <f>MAX($A$8:A55)+1</f>
        <v>27</v>
      </c>
      <c r="D56" s="1019" t="str">
        <f t="shared" si="1"/>
        <v>Total EPC Costs</v>
      </c>
      <c r="E56" s="162"/>
      <c r="F56" s="224" t="str">
        <f>"["&amp;A56&amp;"]"</f>
        <v>[27]</v>
      </c>
      <c r="G56" s="2129" t="str">
        <f>"SUM("&amp;$F$48&amp;":"&amp;F55&amp;")"</f>
        <v>SUM([19]:[26])</v>
      </c>
      <c r="H56" s="168" t="str">
        <f t="shared" si="4"/>
        <v/>
      </c>
      <c r="I56" s="170"/>
      <c r="J56" s="170"/>
      <c r="K56" s="164">
        <f>SUM(K48:K55)</f>
        <v>1132091590</v>
      </c>
      <c r="L56" s="164">
        <f>SUM(L48:L55)</f>
        <v>1005230350</v>
      </c>
      <c r="M56" s="164">
        <f>SUM(M48:M55)</f>
        <v>1006564980</v>
      </c>
      <c r="N56" s="164">
        <f>SUM(N48:N55)</f>
        <v>1057992400</v>
      </c>
      <c r="O56" s="164">
        <f>SUM(O48:O55)</f>
        <v>1244560249.375</v>
      </c>
      <c r="P56" s="358"/>
      <c r="Q56" s="930"/>
      <c r="R56" s="164">
        <f>SUM(R48:R55)</f>
        <v>1141701000.2229233</v>
      </c>
      <c r="S56" s="164">
        <f>SUM(S48:S55)</f>
        <v>1012829241.5866888</v>
      </c>
      <c r="T56" s="164">
        <f>SUM(T48:T55)</f>
        <v>1014185023.0312711</v>
      </c>
      <c r="U56" s="164">
        <f>SUM(U48:U55)</f>
        <v>1066427473.5821583</v>
      </c>
      <c r="V56" s="164">
        <f>SUM(V48:V55)</f>
        <v>1255431321.4674103</v>
      </c>
      <c r="W56" s="153"/>
      <c r="X56" s="156"/>
      <c r="Y56" s="79"/>
      <c r="Z56" s="214" t="str">
        <f>'S&amp;L CC+CT - Capital Costs'!$D33</f>
        <v>Total EPC Costs</v>
      </c>
      <c r="AA56" s="214"/>
      <c r="AB56" s="48"/>
    </row>
    <row r="57" spans="1:28" s="152" customFormat="1" ht="6" customHeight="1" x14ac:dyDescent="0.35">
      <c r="A57" s="313"/>
      <c r="D57" s="291"/>
      <c r="E57" s="313"/>
      <c r="F57" s="213"/>
      <c r="G57" s="313"/>
      <c r="H57" s="154"/>
      <c r="I57" s="154"/>
      <c r="J57" s="154"/>
      <c r="K57" s="153"/>
      <c r="L57" s="153"/>
      <c r="M57" s="153"/>
      <c r="N57" s="153"/>
      <c r="O57" s="153"/>
      <c r="P57" s="356"/>
      <c r="Q57" s="328"/>
      <c r="R57" s="153"/>
      <c r="S57" s="153"/>
      <c r="T57" s="153"/>
      <c r="U57" s="153"/>
      <c r="V57" s="153"/>
      <c r="W57" s="153"/>
      <c r="X57" s="156"/>
      <c r="Y57" s="79"/>
      <c r="Z57" s="214"/>
      <c r="AA57" s="214"/>
      <c r="AB57" s="48"/>
    </row>
    <row r="58" spans="1:28" s="152" customFormat="1" ht="15" customHeight="1" x14ac:dyDescent="0.35">
      <c r="A58" s="313">
        <f>MAX($A$8:A56)+1</f>
        <v>28</v>
      </c>
      <c r="D58" s="1788" t="str">
        <f t="shared" si="1"/>
        <v>Total Project Costs</v>
      </c>
      <c r="E58" s="1788" t="s">
        <v>42</v>
      </c>
      <c r="F58" s="1789" t="str">
        <f>"["&amp;A58&amp;"]"</f>
        <v>[28]</v>
      </c>
      <c r="G58" s="1788" t="str">
        <f>F45&amp;" + "&amp;F56</f>
        <v>[18] + [27]</v>
      </c>
      <c r="H58" s="1794" t="str">
        <f>IF($AA58=$Z$2,$H$19,IF($AA58=$Z$3, $H$20, ""))</f>
        <v/>
      </c>
      <c r="I58" s="1795"/>
      <c r="J58" s="1795"/>
      <c r="K58" s="1842">
        <f>K56+K45</f>
        <v>1679091590</v>
      </c>
      <c r="L58" s="1842">
        <f>L56+L45</f>
        <v>1552230350</v>
      </c>
      <c r="M58" s="1842">
        <f>M56+M45</f>
        <v>1553564980</v>
      </c>
      <c r="N58" s="1842">
        <f>N56+N45</f>
        <v>1604992400</v>
      </c>
      <c r="O58" s="1842">
        <f>O56+O45</f>
        <v>1825747749.375</v>
      </c>
      <c r="P58" s="1796"/>
      <c r="Q58" s="1797"/>
      <c r="R58" s="1792">
        <f>R56+R45</f>
        <v>1683534273.2184827</v>
      </c>
      <c r="S58" s="1792">
        <f>S56+S45</f>
        <v>1554662514.5822482</v>
      </c>
      <c r="T58" s="1792">
        <f>T56+T45</f>
        <v>1556018296.0268307</v>
      </c>
      <c r="U58" s="1792">
        <f>U56+U45</f>
        <v>1608260746.5777178</v>
      </c>
      <c r="V58" s="1792">
        <f>V56+V45</f>
        <v>1831129174.0251923</v>
      </c>
      <c r="W58" s="153"/>
      <c r="X58" s="156"/>
      <c r="Y58" s="79"/>
      <c r="Z58" s="214" t="str">
        <f>'S&amp;L CC+CT - Capital Costs'!$D35</f>
        <v>Total Project Costs</v>
      </c>
      <c r="AA58" s="214"/>
      <c r="AB58" s="48"/>
    </row>
    <row r="59" spans="1:28" s="152" customFormat="1" ht="6" customHeight="1" x14ac:dyDescent="0.35">
      <c r="D59" s="159"/>
      <c r="E59" s="155"/>
      <c r="F59" s="155"/>
      <c r="G59" s="159"/>
      <c r="H59" s="159"/>
      <c r="I59" s="204"/>
      <c r="J59" s="204"/>
      <c r="K59" s="159"/>
      <c r="L59" s="159"/>
      <c r="M59" s="159"/>
      <c r="N59" s="159"/>
      <c r="O59" s="159"/>
      <c r="P59" s="246"/>
      <c r="Q59" s="204"/>
      <c r="R59" s="155"/>
      <c r="S59" s="155"/>
      <c r="T59" s="155"/>
      <c r="U59" s="159"/>
      <c r="V59" s="159"/>
      <c r="W59" s="246"/>
      <c r="X59" s="156"/>
      <c r="Y59" s="79"/>
      <c r="Z59" s="214"/>
      <c r="AA59" s="214"/>
      <c r="AB59" s="48"/>
    </row>
    <row r="60" spans="1:28" s="152" customFormat="1" ht="6" customHeight="1" x14ac:dyDescent="0.35">
      <c r="D60" s="313"/>
      <c r="G60" s="313"/>
      <c r="H60" s="313"/>
      <c r="I60" s="204"/>
      <c r="J60" s="204"/>
      <c r="K60" s="313"/>
      <c r="L60" s="313"/>
      <c r="M60" s="313"/>
      <c r="N60" s="313"/>
      <c r="O60" s="313"/>
      <c r="P60" s="246"/>
      <c r="Q60" s="204"/>
      <c r="U60" s="313"/>
      <c r="V60" s="313"/>
      <c r="W60" s="313"/>
      <c r="X60" s="156"/>
      <c r="Y60" s="79"/>
      <c r="Z60" s="214"/>
      <c r="AA60" s="214"/>
      <c r="AB60" s="48"/>
    </row>
    <row r="61" spans="1:28" s="152" customFormat="1" ht="15" customHeight="1" x14ac:dyDescent="0.35">
      <c r="D61" s="162" t="s">
        <v>107</v>
      </c>
      <c r="F61" s="213"/>
      <c r="G61" s="313"/>
      <c r="H61" s="313"/>
      <c r="I61" s="204"/>
      <c r="J61" s="204"/>
      <c r="K61" s="153"/>
      <c r="L61" s="153"/>
      <c r="M61" s="153"/>
      <c r="N61" s="153"/>
      <c r="O61" s="153"/>
      <c r="P61" s="356"/>
      <c r="Q61" s="204"/>
      <c r="U61" s="313"/>
      <c r="V61" s="313"/>
      <c r="W61" s="313"/>
      <c r="X61" s="156"/>
      <c r="Y61" s="79"/>
      <c r="Z61" s="214"/>
      <c r="AA61" s="214"/>
      <c r="AB61" s="48"/>
    </row>
    <row r="62" spans="1:28" s="152" customFormat="1" ht="15" customHeight="1" x14ac:dyDescent="0.35">
      <c r="A62" s="313">
        <f>MAX($A$8:A61)+1</f>
        <v>29</v>
      </c>
      <c r="D62" s="189" t="str">
        <f>'CC Capital Costs'!$Z62</f>
        <v>Project Development</v>
      </c>
      <c r="E62" s="152" t="s">
        <v>42</v>
      </c>
      <c r="F62" s="213" t="str">
        <f t="shared" ref="F62:F72" si="6">"["&amp;A62&amp;"]"</f>
        <v>[29]</v>
      </c>
      <c r="G62" s="313" t="str">
        <f>$F12&amp;" x "&amp;$F$58</f>
        <v>[4] x [28]</v>
      </c>
      <c r="H62" s="168"/>
      <c r="I62" s="357"/>
      <c r="J62" s="357"/>
      <c r="K62" s="153">
        <f>K58*$H$12</f>
        <v>83954579.5</v>
      </c>
      <c r="L62" s="153">
        <f t="shared" ref="L62:O62" si="7">L58*$H$12</f>
        <v>77611517.5</v>
      </c>
      <c r="M62" s="153">
        <f t="shared" si="7"/>
        <v>77678249</v>
      </c>
      <c r="N62" s="153">
        <f t="shared" si="7"/>
        <v>80249620</v>
      </c>
      <c r="O62" s="153">
        <f t="shared" si="7"/>
        <v>91287387.46875</v>
      </c>
      <c r="P62" s="356"/>
      <c r="Q62" s="357"/>
      <c r="R62" s="153">
        <f>R58*$H$12</f>
        <v>84176713.660924137</v>
      </c>
      <c r="S62" s="153">
        <f t="shared" ref="S62:V62" si="8">S58*$H$12</f>
        <v>77733125.729112417</v>
      </c>
      <c r="T62" s="153">
        <f t="shared" si="8"/>
        <v>77800914.801341534</v>
      </c>
      <c r="U62" s="153">
        <f t="shared" si="8"/>
        <v>80413037.328885898</v>
      </c>
      <c r="V62" s="153">
        <f t="shared" si="8"/>
        <v>91556458.701259613</v>
      </c>
      <c r="W62" s="153"/>
      <c r="X62" s="156"/>
      <c r="Y62" s="79"/>
      <c r="Z62" s="214" t="str">
        <f>'S&amp;L CC+CT - Capital Costs'!$D40</f>
        <v>Project Development</v>
      </c>
      <c r="AA62" s="219" t="s">
        <v>515</v>
      </c>
      <c r="AB62" s="48" t="s">
        <v>338</v>
      </c>
    </row>
    <row r="63" spans="1:28" s="152" customFormat="1" ht="15" customHeight="1" x14ac:dyDescent="0.35">
      <c r="A63" s="313">
        <f>MAX($A$8:A62)+1</f>
        <v>30</v>
      </c>
      <c r="D63" s="189" t="str">
        <f>'CC Capital Costs'!$Z63</f>
        <v>Mobilization and Start-Up</v>
      </c>
      <c r="E63" s="152" t="s">
        <v>42</v>
      </c>
      <c r="F63" s="213" t="str">
        <f t="shared" si="6"/>
        <v>[30]</v>
      </c>
      <c r="G63" s="313" t="str">
        <f>$F13&amp;" x "&amp;$F$58</f>
        <v>[5] x [28]</v>
      </c>
      <c r="H63" s="168"/>
      <c r="I63" s="357"/>
      <c r="J63" s="357"/>
      <c r="K63" s="153">
        <f>$H$13*K$58</f>
        <v>16790915.899999999</v>
      </c>
      <c r="L63" s="153">
        <f>$H$13*L$58</f>
        <v>15522303.5</v>
      </c>
      <c r="M63" s="153">
        <f>$H$13*M$58</f>
        <v>15535649.800000001</v>
      </c>
      <c r="N63" s="153">
        <f>$H$13*N$58</f>
        <v>16049924</v>
      </c>
      <c r="O63" s="153">
        <f>$H$13*O$58</f>
        <v>18257477.493750002</v>
      </c>
      <c r="P63" s="356"/>
      <c r="Q63" s="328"/>
      <c r="R63" s="153">
        <f>$H$13*R$58</f>
        <v>16835342.732184827</v>
      </c>
      <c r="S63" s="153">
        <f>$H$13*S$58</f>
        <v>15546625.145822482</v>
      </c>
      <c r="T63" s="153">
        <f>$H$13*T$58</f>
        <v>15560182.960268307</v>
      </c>
      <c r="U63" s="153">
        <f>$H$13*U$58</f>
        <v>16082607.465777177</v>
      </c>
      <c r="V63" s="153">
        <f>$H$13*V$58</f>
        <v>18311291.740251925</v>
      </c>
      <c r="W63" s="153"/>
      <c r="X63" s="156"/>
      <c r="Y63" s="79"/>
      <c r="Z63" s="214" t="str">
        <f>'S&amp;L CC+CT - Capital Costs'!$D41</f>
        <v>Mobilization and Start-Up</v>
      </c>
      <c r="AA63" s="219" t="s">
        <v>515</v>
      </c>
      <c r="AB63" s="48" t="s">
        <v>338</v>
      </c>
    </row>
    <row r="64" spans="1:28" s="152" customFormat="1" ht="15" customHeight="1" x14ac:dyDescent="0.35">
      <c r="A64" s="313">
        <f>MAX($A$8:A63)+1</f>
        <v>31</v>
      </c>
      <c r="D64" s="189" t="str">
        <f>'CC Capital Costs'!$Z64</f>
        <v>Non-Fuel Inventories</v>
      </c>
      <c r="E64" s="152" t="s">
        <v>42</v>
      </c>
      <c r="F64" s="213" t="str">
        <f t="shared" si="6"/>
        <v>[31]</v>
      </c>
      <c r="G64" s="313" t="str">
        <f>F14&amp;" x "&amp;F58</f>
        <v>[6] x [28]</v>
      </c>
      <c r="H64" s="168" t="str">
        <f t="shared" ref="H64:H72" si="9">IF($AA64=$Z$2,$H$19,IF($AA64=$Z$3, $H$20, ""))</f>
        <v/>
      </c>
      <c r="I64" s="328"/>
      <c r="J64" s="328"/>
      <c r="K64" s="153">
        <f>$H$14*K58</f>
        <v>8395457.9499999993</v>
      </c>
      <c r="L64" s="153">
        <f>$H$14*L58</f>
        <v>7761151.75</v>
      </c>
      <c r="M64" s="153">
        <f>$H$14*M58</f>
        <v>7767824.9000000004</v>
      </c>
      <c r="N64" s="153">
        <f>$H$14*N58</f>
        <v>8024962</v>
      </c>
      <c r="O64" s="153">
        <f>$H$14*O58</f>
        <v>9128738.7468750011</v>
      </c>
      <c r="P64" s="356"/>
      <c r="Q64" s="328"/>
      <c r="R64" s="153">
        <f>$H$14*R58</f>
        <v>8417671.3660924137</v>
      </c>
      <c r="S64" s="153">
        <f>$H$14*S58</f>
        <v>7773312.5729112411</v>
      </c>
      <c r="T64" s="153">
        <f>$H$14*T58</f>
        <v>7780091.4801341537</v>
      </c>
      <c r="U64" s="153">
        <f>$H$14*U58</f>
        <v>8041303.7328885887</v>
      </c>
      <c r="V64" s="153">
        <f>$H$14*V58</f>
        <v>9155645.8701259624</v>
      </c>
      <c r="W64" s="153"/>
      <c r="X64" s="156"/>
      <c r="Y64" s="79"/>
      <c r="Z64" s="214" t="str">
        <f>'S&amp;L CC+CT - Capital Costs'!$D42</f>
        <v>Non-Fuel Inventories</v>
      </c>
      <c r="AA64" s="214"/>
      <c r="AB64" s="48" t="s">
        <v>338</v>
      </c>
    </row>
    <row r="65" spans="1:28" s="313" customFormat="1" ht="15" customHeight="1" x14ac:dyDescent="0.35">
      <c r="A65" s="313">
        <f>MAX($A$8:A64)+1</f>
        <v>32</v>
      </c>
      <c r="D65" s="189" t="str">
        <f>'CC Capital Costs'!$Z65</f>
        <v>Net Start-Up Fuel Costs</v>
      </c>
      <c r="E65" s="313" t="s">
        <v>42</v>
      </c>
      <c r="F65" s="312" t="str">
        <f t="shared" si="6"/>
        <v>[32]</v>
      </c>
      <c r="G65" s="313" t="s">
        <v>39</v>
      </c>
      <c r="H65" s="168"/>
      <c r="I65" s="328"/>
      <c r="J65" s="328"/>
      <c r="K65" s="153">
        <f>R65/(1+$H$21)</f>
        <v>-23291439.815099601</v>
      </c>
      <c r="L65" s="153">
        <f>S65/(1+$H$21)</f>
        <v>-19192336.009981602</v>
      </c>
      <c r="M65" s="153">
        <f>T65/(1+$H$21)</f>
        <v>-23482964.061601367</v>
      </c>
      <c r="N65" s="153">
        <f>U65/(1+$H$21)</f>
        <v>-28889380.508125275</v>
      </c>
      <c r="O65" s="153">
        <f>V65/(1+$H$21)</f>
        <v>-10982429.165655771</v>
      </c>
      <c r="P65" s="356"/>
      <c r="Q65" s="328"/>
      <c r="R65" s="153">
        <f>INDEX('S&amp;L CC+CT - Capital Costs'!$L$16:$P$56,MATCH($Z65,'S&amp;L CC+CT - Capital Costs'!$D$16:$D$56,0),MATCH(R$31,'S&amp;L CC+CT - Capital Costs'!$L$8:$P$8,0))</f>
        <v>-25372045.936227906</v>
      </c>
      <c r="S65" s="153">
        <f>INDEX('S&amp;L CC+CT - Capital Costs'!$L$16:$P$56,MATCH($Z65,'S&amp;L CC+CT - Capital Costs'!$D$16:$D$56,0),MATCH(S$31,'S&amp;L CC+CT - Capital Costs'!$L$8:$P$8,0))</f>
        <v>-20906772.390820179</v>
      </c>
      <c r="T65" s="153">
        <f>INDEX('S&amp;L CC+CT - Capital Costs'!$L$16:$P$56,MATCH($Z65,'S&amp;L CC+CT - Capital Costs'!$D$16:$D$56,0),MATCH(T$31,'S&amp;L CC+CT - Capital Costs'!$L$8:$P$8,0))</f>
        <v>-25580678.894032169</v>
      </c>
      <c r="U65" s="153">
        <f>INDEX('S&amp;L CC+CT - Capital Costs'!$L$16:$P$56,MATCH($Z65,'S&amp;L CC+CT - Capital Costs'!$D$16:$D$56,0),MATCH(U$31,'S&amp;L CC+CT - Capital Costs'!$L$8:$P$8,0))</f>
        <v>-31470046.297701892</v>
      </c>
      <c r="V65" s="153">
        <f>INDEX('S&amp;L CC+CT - Capital Costs'!$L$16:$P$56,MATCH($Z65,'S&amp;L CC+CT - Capital Costs'!$D$16:$D$56,0),MATCH(V$31,'S&amp;L CC+CT - Capital Costs'!$L$8:$P$8,0))</f>
        <v>-11963480.982474238</v>
      </c>
      <c r="W65" s="153"/>
      <c r="X65" s="153"/>
      <c r="Y65" s="144"/>
      <c r="Z65" s="214" t="str">
        <f>'S&amp;L CC+CT - Capital Costs'!$D45</f>
        <v>Net Start-Up Fuel Costs</v>
      </c>
      <c r="AA65" s="214" t="s">
        <v>515</v>
      </c>
      <c r="AB65" s="48" t="s">
        <v>338</v>
      </c>
    </row>
    <row r="66" spans="1:28" s="152" customFormat="1" ht="15" customHeight="1" x14ac:dyDescent="0.35">
      <c r="A66" s="313">
        <f>MAX($A$8:A65)+1</f>
        <v>33</v>
      </c>
      <c r="D66" s="189" t="str">
        <f>'CC Capital Costs'!$Z66</f>
        <v>Electrical Interconnection</v>
      </c>
      <c r="E66" s="152" t="s">
        <v>42</v>
      </c>
      <c r="F66" s="213" t="str">
        <f t="shared" si="6"/>
        <v>[33]</v>
      </c>
      <c r="G66" s="313" t="str">
        <f>'S&amp;L CC+CT - Capital Costs'!$D$3</f>
        <v>Table C8</v>
      </c>
      <c r="H66" s="168">
        <f t="shared" si="9"/>
        <v>1.5848171090196317E-2</v>
      </c>
      <c r="I66" s="204"/>
      <c r="J66" s="204"/>
      <c r="K66" s="153">
        <f>INDEX('S&amp;L CC+CT - Capital Costs'!$L$16:$P$56,MATCH($Z66,'S&amp;L CC+CT - Capital Costs'!$D$16:$D$56,0),MATCH(K$31,'S&amp;L CC+CT - Capital Costs'!$L$8:$P$8,0))</f>
        <v>70466985.587483019</v>
      </c>
      <c r="L66" s="153">
        <f>INDEX('S&amp;L CC+CT - Capital Costs'!$L$16:$P$56,MATCH($Z66,'S&amp;L CC+CT - Capital Costs'!$D$16:$D$56,0),MATCH(L$31,'S&amp;L CC+CT - Capital Costs'!$L$8:$P$8,0))</f>
        <v>70476551.580495164</v>
      </c>
      <c r="M66" s="153">
        <f>INDEX('S&amp;L CC+CT - Capital Costs'!$L$16:$P$56,MATCH($Z66,'S&amp;L CC+CT - Capital Costs'!$D$16:$D$56,0),MATCH(M$31,'S&amp;L CC+CT - Capital Costs'!$L$8:$P$8,0))</f>
        <v>69757626.208519548</v>
      </c>
      <c r="N66" s="153">
        <f>INDEX('S&amp;L CC+CT - Capital Costs'!$L$16:$P$56,MATCH($Z66,'S&amp;L CC+CT - Capital Costs'!$D$16:$D$56,0),MATCH(N$31,'S&amp;L CC+CT - Capital Costs'!$L$8:$P$8,0))</f>
        <v>69069694.653903276</v>
      </c>
      <c r="O66" s="153">
        <f>INDEX('S&amp;L CC+CT - Capital Costs'!$L$16:$P$56,MATCH($Z66,'S&amp;L CC+CT - Capital Costs'!$D$16:$D$56,0),MATCH(O$31,'S&amp;L CC+CT - Capital Costs'!$L$8:$P$8,0))</f>
        <v>70722752.909219176</v>
      </c>
      <c r="P66" s="356"/>
      <c r="Q66" s="357"/>
      <c r="R66" s="1152">
        <f t="shared" ref="R66:V68" si="10">K66*(1+$H66)</f>
        <v>71583758.431283846</v>
      </c>
      <c r="S66" s="1152">
        <f t="shared" si="10"/>
        <v>71593476.027789891</v>
      </c>
      <c r="T66" s="1152">
        <f t="shared" si="10"/>
        <v>70863157.003518134</v>
      </c>
      <c r="U66" s="1152">
        <f t="shared" si="10"/>
        <v>70164322.991925955</v>
      </c>
      <c r="V66" s="1152">
        <f t="shared" si="10"/>
        <v>71843579.197294161</v>
      </c>
      <c r="W66" s="153"/>
      <c r="X66" s="156"/>
      <c r="Y66" s="79"/>
      <c r="Z66" s="214" t="str">
        <f>'S&amp;L CC+CT - Capital Costs'!$D46</f>
        <v>Electrical Interconnection</v>
      </c>
      <c r="AA66" s="219" t="s">
        <v>515</v>
      </c>
      <c r="AB66" s="48" t="s">
        <v>338</v>
      </c>
    </row>
    <row r="67" spans="1:28" s="152" customFormat="1" ht="15" customHeight="1" x14ac:dyDescent="0.35">
      <c r="A67" s="313">
        <f>MAX($A$8:A66)+1</f>
        <v>34</v>
      </c>
      <c r="D67" s="189" t="str">
        <f>'CC Capital Costs'!$Z67</f>
        <v>Gas Interconnection</v>
      </c>
      <c r="E67" s="152" t="s">
        <v>42</v>
      </c>
      <c r="F67" s="213" t="str">
        <f t="shared" si="6"/>
        <v>[34]</v>
      </c>
      <c r="G67" s="313" t="str">
        <f>'S&amp;L CC+CT - Capital Costs'!$D$3</f>
        <v>Table C8</v>
      </c>
      <c r="H67" s="168">
        <f t="shared" si="9"/>
        <v>1.5848171090196317E-2</v>
      </c>
      <c r="I67" s="204"/>
      <c r="J67" s="204"/>
      <c r="K67" s="153">
        <f>INDEX('S&amp;L CC+CT - Capital Costs'!$L$16:$P$56,MATCH($Z67,'S&amp;L CC+CT - Capital Costs'!$D$16:$D$56,0),MATCH(K$31,'S&amp;L CC+CT - Capital Costs'!$L$8:$P$8,0))</f>
        <v>48388520.170698389</v>
      </c>
      <c r="L67" s="153">
        <f>INDEX('S&amp;L CC+CT - Capital Costs'!$L$16:$P$56,MATCH($Z67,'S&amp;L CC+CT - Capital Costs'!$D$16:$D$56,0),MATCH(L$31,'S&amp;L CC+CT - Capital Costs'!$L$8:$P$8,0))</f>
        <v>48388520.170698389</v>
      </c>
      <c r="M67" s="153">
        <f>INDEX('S&amp;L CC+CT - Capital Costs'!$L$16:$P$56,MATCH($Z67,'S&amp;L CC+CT - Capital Costs'!$D$16:$D$56,0),MATCH(M$31,'S&amp;L CC+CT - Capital Costs'!$L$8:$P$8,0))</f>
        <v>48388520.170698389</v>
      </c>
      <c r="N67" s="153">
        <f>INDEX('S&amp;L CC+CT - Capital Costs'!$L$16:$P$56,MATCH($Z67,'S&amp;L CC+CT - Capital Costs'!$D$16:$D$56,0),MATCH(N$31,'S&amp;L CC+CT - Capital Costs'!$L$8:$P$8,0))</f>
        <v>48388520.170698389</v>
      </c>
      <c r="O67" s="153">
        <f>INDEX('S&amp;L CC+CT - Capital Costs'!$L$16:$P$56,MATCH($Z67,'S&amp;L CC+CT - Capital Costs'!$D$16:$D$56,0),MATCH(O$31,'S&amp;L CC+CT - Capital Costs'!$L$8:$P$8,0))</f>
        <v>48388520.170698389</v>
      </c>
      <c r="P67" s="356"/>
      <c r="Q67" s="357"/>
      <c r="R67" s="1152">
        <f t="shared" si="10"/>
        <v>49155389.717165031</v>
      </c>
      <c r="S67" s="1152">
        <f t="shared" si="10"/>
        <v>49155389.717165031</v>
      </c>
      <c r="T67" s="1152">
        <f t="shared" si="10"/>
        <v>49155389.717165031</v>
      </c>
      <c r="U67" s="1152">
        <f t="shared" si="10"/>
        <v>49155389.717165031</v>
      </c>
      <c r="V67" s="1152">
        <f t="shared" si="10"/>
        <v>49155389.717165031</v>
      </c>
      <c r="W67" s="153"/>
      <c r="X67" s="156"/>
      <c r="Y67" s="79"/>
      <c r="Z67" s="214" t="str">
        <f>'S&amp;L CC+CT - Capital Costs'!$D47</f>
        <v>Gas Interconnection</v>
      </c>
      <c r="AA67" s="219" t="s">
        <v>515</v>
      </c>
      <c r="AB67" s="48" t="s">
        <v>338</v>
      </c>
    </row>
    <row r="68" spans="1:28" s="152" customFormat="1" ht="15" customHeight="1" x14ac:dyDescent="0.35">
      <c r="A68" s="313">
        <f>MAX($A$8:A67)+1</f>
        <v>35</v>
      </c>
      <c r="D68" s="189" t="str">
        <f>'CC Capital Costs'!$Z68</f>
        <v>Land</v>
      </c>
      <c r="E68" s="152" t="s">
        <v>42</v>
      </c>
      <c r="F68" s="213" t="str">
        <f t="shared" si="6"/>
        <v>[35]</v>
      </c>
      <c r="G68" s="313" t="str">
        <f>'S&amp;L CC+CT - Capital Costs'!$D$3</f>
        <v>Table C8</v>
      </c>
      <c r="H68" s="168">
        <f t="shared" si="9"/>
        <v>1.5848171090196317E-2</v>
      </c>
      <c r="I68" s="204"/>
      <c r="J68" s="204"/>
      <c r="K68" s="153">
        <f>INDEX('S&amp;L CC+CT - Capital Costs'!$L$16:$P$56,MATCH($Z68,'S&amp;L CC+CT - Capital Costs'!$D$16:$D$56,0),MATCH(K$31,'S&amp;L CC+CT - Capital Costs'!$L$8:$P$8,0))</f>
        <v>6385011.257639112</v>
      </c>
      <c r="L68" s="153">
        <f>INDEX('S&amp;L CC+CT - Capital Costs'!$L$16:$P$56,MATCH($Z68,'S&amp;L CC+CT - Capital Costs'!$D$16:$D$56,0),MATCH(L$31,'S&amp;L CC+CT - Capital Costs'!$L$8:$P$8,0))</f>
        <v>6010899.6539792381</v>
      </c>
      <c r="M68" s="153">
        <f>INDEX('S&amp;L CC+CT - Capital Costs'!$L$16:$P$56,MATCH($Z68,'S&amp;L CC+CT - Capital Costs'!$D$16:$D$56,0),MATCH(M$31,'S&amp;L CC+CT - Capital Costs'!$L$8:$P$8,0))</f>
        <v>2585934.4354160829</v>
      </c>
      <c r="N68" s="153">
        <f>INDEX('S&amp;L CC+CT - Capital Costs'!$L$16:$P$56,MATCH($Z68,'S&amp;L CC+CT - Capital Costs'!$D$16:$D$56,0),MATCH(N$31,'S&amp;L CC+CT - Capital Costs'!$L$8:$P$8,0))</f>
        <v>5509598.1054537864</v>
      </c>
      <c r="O68" s="153">
        <f>INDEX('S&amp;L CC+CT - Capital Costs'!$L$16:$P$56,MATCH($Z68,'S&amp;L CC+CT - Capital Costs'!$D$16:$D$56,0),MATCH(O$31,'S&amp;L CC+CT - Capital Costs'!$L$8:$P$8,0))</f>
        <v>7075452.6249475013</v>
      </c>
      <c r="P68" s="356"/>
      <c r="Q68" s="357"/>
      <c r="R68" s="1152">
        <f t="shared" si="10"/>
        <v>6486202.0084630065</v>
      </c>
      <c r="S68" s="1152">
        <f t="shared" si="10"/>
        <v>6106161.4201015029</v>
      </c>
      <c r="T68" s="1152">
        <f t="shared" si="10"/>
        <v>2626916.7667765873</v>
      </c>
      <c r="U68" s="1152">
        <f t="shared" si="10"/>
        <v>5596915.15886724</v>
      </c>
      <c r="V68" s="1152">
        <f t="shared" si="10"/>
        <v>7187585.6086882483</v>
      </c>
      <c r="W68" s="153"/>
      <c r="X68" s="156"/>
      <c r="Y68" s="79"/>
      <c r="Z68" s="214" t="str">
        <f>'S&amp;L CC+CT - Capital Costs'!$D48</f>
        <v>Land</v>
      </c>
      <c r="AA68" s="219" t="s">
        <v>515</v>
      </c>
      <c r="AB68" s="48" t="s">
        <v>337</v>
      </c>
    </row>
    <row r="69" spans="1:28" s="152" customFormat="1" ht="15" customHeight="1" x14ac:dyDescent="0.35">
      <c r="A69" s="313">
        <f>MAX($A$8:A68)+1</f>
        <v>36</v>
      </c>
      <c r="D69" s="189" t="str">
        <f>'CC Capital Costs'!$Z69</f>
        <v>Owner's Contingency</v>
      </c>
      <c r="E69" s="152" t="s">
        <v>42</v>
      </c>
      <c r="F69" s="213" t="str">
        <f>"["&amp;A69&amp;"]"</f>
        <v>[36]</v>
      </c>
      <c r="G69" s="313" t="str">
        <f>$F$15&amp;" x SUM("&amp;$F$62&amp;":"&amp;$F$68&amp;")"</f>
        <v>[7] x SUM([29]:[35])</v>
      </c>
      <c r="H69" s="168" t="str">
        <f t="shared" si="9"/>
        <v/>
      </c>
      <c r="I69" s="328"/>
      <c r="J69" s="328"/>
      <c r="K69" s="153">
        <f>$H$15*SUM(K62:K68)</f>
        <v>16887202.444057673</v>
      </c>
      <c r="L69" s="153">
        <f>$H$15*SUM(L62:L68)</f>
        <v>16526288.651615296</v>
      </c>
      <c r="M69" s="153">
        <f>$H$15*SUM(M62:M68)</f>
        <v>15858467.236242611</v>
      </c>
      <c r="N69" s="153">
        <f>$H$15*SUM(N62:N68)</f>
        <v>15872235.073754415</v>
      </c>
      <c r="O69" s="153">
        <f>$H$15*SUM(O62:O68)</f>
        <v>18710232.019886743</v>
      </c>
      <c r="P69" s="356"/>
      <c r="Q69" s="328"/>
      <c r="R69" s="153">
        <f>$H$15*SUM(R62:R68)</f>
        <v>16902642.558390826</v>
      </c>
      <c r="S69" s="153">
        <f>$H$15*SUM(S62:S68)</f>
        <v>16560105.457766591</v>
      </c>
      <c r="T69" s="153">
        <f>$H$15*SUM(T62:T68)</f>
        <v>15856477.906813726</v>
      </c>
      <c r="U69" s="153">
        <f>$H$15*SUM(U62:U68)</f>
        <v>15838682.407824637</v>
      </c>
      <c r="V69" s="153">
        <f>$H$15*SUM(V62:V68)</f>
        <v>18819717.588184856</v>
      </c>
      <c r="W69" s="153"/>
      <c r="X69" s="156"/>
      <c r="Y69" s="79"/>
      <c r="Z69" s="219" t="str">
        <f>'S&amp;L CC+CT - Capital Costs'!$D43</f>
        <v>Owner's Contingency</v>
      </c>
      <c r="AA69" s="214"/>
      <c r="AB69" s="48" t="s">
        <v>338</v>
      </c>
    </row>
    <row r="70" spans="1:28" s="152" customFormat="1" ht="15" customHeight="1" x14ac:dyDescent="0.35">
      <c r="A70" s="313">
        <f>MAX($A$8:A69)+1</f>
        <v>37</v>
      </c>
      <c r="D70" s="189" t="str">
        <f>'CC Capital Costs'!$Z70</f>
        <v>Emission Reduction Credits</v>
      </c>
      <c r="E70" s="152" t="s">
        <v>42</v>
      </c>
      <c r="F70" s="213" t="str">
        <f>"["&amp;A70&amp;"]"</f>
        <v>[37]</v>
      </c>
      <c r="G70" s="313" t="str">
        <f>'S&amp;L CC+CT - Capital Costs'!$D$3</f>
        <v>Table C8</v>
      </c>
      <c r="H70" s="168">
        <f t="shared" si="9"/>
        <v>1.5848171090196317E-2</v>
      </c>
      <c r="I70" s="328"/>
      <c r="J70" s="328"/>
      <c r="K70" s="153">
        <f>INDEX('S&amp;L CC+CT - Capital Costs'!$L$16:$P$56,MATCH($Z70,'S&amp;L CC+CT - Capital Costs'!$D$16:$D$56,0),MATCH(K$31,'S&amp;L CC+CT - Capital Costs'!$L$8:$P$8,0))</f>
        <v>2240000</v>
      </c>
      <c r="L70" s="153">
        <f>INDEX('S&amp;L CC+CT - Capital Costs'!$L$16:$P$56,MATCH($Z70,'S&amp;L CC+CT - Capital Costs'!$D$16:$D$56,0),MATCH(L$31,'S&amp;L CC+CT - Capital Costs'!$L$8:$P$8,0))</f>
        <v>2240000</v>
      </c>
      <c r="M70" s="153">
        <f>INDEX('S&amp;L CC+CT - Capital Costs'!$L$16:$P$56,MATCH($Z70,'S&amp;L CC+CT - Capital Costs'!$D$16:$D$56,0),MATCH(M$31,'S&amp;L CC+CT - Capital Costs'!$L$8:$P$8,0))</f>
        <v>2240000</v>
      </c>
      <c r="N70" s="153">
        <f>INDEX('S&amp;L CC+CT - Capital Costs'!$L$16:$P$56,MATCH($Z70,'S&amp;L CC+CT - Capital Costs'!$D$16:$D$56,0),MATCH(N$31,'S&amp;L CC+CT - Capital Costs'!$L$8:$P$8,0))</f>
        <v>2240000</v>
      </c>
      <c r="O70" s="153">
        <f>INDEX('S&amp;L CC+CT - Capital Costs'!$L$16:$P$56,MATCH($Z70,'S&amp;L CC+CT - Capital Costs'!$D$16:$D$56,0),MATCH(O$31,'S&amp;L CC+CT - Capital Costs'!$L$8:$P$8,0))</f>
        <v>2240000</v>
      </c>
      <c r="P70" s="356"/>
      <c r="Q70" s="328"/>
      <c r="R70" s="1152">
        <f>K70*(1+$H70)</f>
        <v>2275499.90324204</v>
      </c>
      <c r="S70" s="1152">
        <f>L70*(1+$H70)</f>
        <v>2275499.90324204</v>
      </c>
      <c r="T70" s="1152">
        <f>M70*(1+$H70)</f>
        <v>2275499.90324204</v>
      </c>
      <c r="U70" s="1152">
        <f>N70*(1+$H70)</f>
        <v>2275499.90324204</v>
      </c>
      <c r="V70" s="1152">
        <f>O70*(1+$H70)</f>
        <v>2275499.90324204</v>
      </c>
      <c r="W70" s="153"/>
      <c r="X70" s="156"/>
      <c r="Y70" s="79"/>
      <c r="Z70" s="214" t="str">
        <f>'S&amp;L CC+CT - Capital Costs'!$D44</f>
        <v>Emission Reduction Credits</v>
      </c>
      <c r="AA70" s="219" t="s">
        <v>515</v>
      </c>
      <c r="AB70" s="48"/>
    </row>
    <row r="71" spans="1:28" s="152" customFormat="1" ht="15" customHeight="1" x14ac:dyDescent="0.35">
      <c r="A71" s="313">
        <f>MAX($A$8:A70)+1</f>
        <v>38</v>
      </c>
      <c r="D71" s="189" t="s">
        <v>85</v>
      </c>
      <c r="E71" s="152" t="s">
        <v>42</v>
      </c>
      <c r="F71" s="213" t="str">
        <f>"["&amp;A71&amp;"]"</f>
        <v>[38]</v>
      </c>
      <c r="G71" s="313" t="s">
        <v>39</v>
      </c>
      <c r="H71" s="168" t="str">
        <f t="shared" si="9"/>
        <v/>
      </c>
      <c r="I71" s="328"/>
      <c r="J71" s="328"/>
      <c r="K71" s="276">
        <f>$H$16*SUM(K62:K70,K58)*Control!$H$22</f>
        <v>42004794.105885133</v>
      </c>
      <c r="L71" s="276">
        <f>$H$16*SUM(L62:L70,L58)*Control!$H$22</f>
        <v>39106655.429529749</v>
      </c>
      <c r="M71" s="276">
        <f>$H$16*SUM(M62:M70,M58)*Control!$H$22</f>
        <v>38937674.329164058</v>
      </c>
      <c r="N71" s="276">
        <f>$H$16*SUM(N62:N70,N58)*Control!$H$22</f>
        <v>40073166.616905063</v>
      </c>
      <c r="O71" s="276">
        <f>$H$16*SUM(O62:O70,O58)*Control!$H$22</f>
        <v>45772669.396156371</v>
      </c>
      <c r="P71" s="356"/>
      <c r="Q71" s="328"/>
      <c r="R71" s="276">
        <f>$H$16*SUM(R62:R70,R58)*Control!$H$22</f>
        <v>42107899.848520026</v>
      </c>
      <c r="S71" s="276">
        <f>$H$16*SUM(S62:S70,S58)*Control!$H$22</f>
        <v>39170987.639637463</v>
      </c>
      <c r="T71" s="276">
        <f>$H$16*SUM(T62:T70,T58)*Control!$H$22</f>
        <v>38991837.448785283</v>
      </c>
      <c r="U71" s="276">
        <f>$H$16*SUM(U62:U70,U58)*Control!$H$22</f>
        <v>40135886.097705044</v>
      </c>
      <c r="V71" s="276">
        <f>$H$16*SUM(V62:V70,V58)*Control!$H$22</f>
        <v>45924358.950116463</v>
      </c>
      <c r="W71" s="153"/>
      <c r="X71" s="156"/>
      <c r="Y71" s="79"/>
      <c r="Z71" s="214"/>
      <c r="AA71" s="214"/>
      <c r="AB71" s="48"/>
    </row>
    <row r="72" spans="1:28" s="152" customFormat="1" ht="15" customHeight="1" x14ac:dyDescent="0.35">
      <c r="A72" s="313">
        <f>MAX($A$8:A71)+1</f>
        <v>39</v>
      </c>
      <c r="D72" s="1787" t="s">
        <v>112</v>
      </c>
      <c r="E72" s="1788" t="s">
        <v>42</v>
      </c>
      <c r="F72" s="1789" t="str">
        <f t="shared" si="6"/>
        <v>[39]</v>
      </c>
      <c r="G72" s="1788" t="str">
        <f>"SUM("&amp;$F$62&amp;":"&amp;F71&amp;")"</f>
        <v>SUM([29]:[38])</v>
      </c>
      <c r="H72" s="1790" t="str">
        <f t="shared" si="9"/>
        <v/>
      </c>
      <c r="I72" s="1798"/>
      <c r="J72" s="1798"/>
      <c r="K72" s="2130">
        <f>SUM(K$62:K$71)</f>
        <v>272222027.10066372</v>
      </c>
      <c r="L72" s="2130">
        <f>SUM(L$62:L$71)</f>
        <v>264451552.22633624</v>
      </c>
      <c r="M72" s="2130">
        <f>SUM(M$62:M$71)</f>
        <v>255266982.01843932</v>
      </c>
      <c r="N72" s="2130">
        <f>SUM(N$62:N$71)</f>
        <v>256588340.11258969</v>
      </c>
      <c r="O72" s="2130">
        <f>SUM(O$62:O$71)</f>
        <v>300600801.66462737</v>
      </c>
      <c r="P72" s="1793"/>
      <c r="Q72" s="1791"/>
      <c r="R72" s="1799">
        <f>SUM(R$62:R$71)</f>
        <v>272569074.29003823</v>
      </c>
      <c r="S72" s="1799">
        <f>SUM(S$62:S$71)</f>
        <v>265007911.22272849</v>
      </c>
      <c r="T72" s="1799">
        <f>SUM(T$62:T$71)</f>
        <v>255329789.09401265</v>
      </c>
      <c r="U72" s="1799">
        <f>SUM(U$62:U$71)</f>
        <v>256233598.5065797</v>
      </c>
      <c r="V72" s="1799">
        <f>SUM(V$62:V$71)</f>
        <v>302266046.29385406</v>
      </c>
      <c r="W72" s="164"/>
      <c r="X72" s="156"/>
      <c r="Y72" s="79"/>
      <c r="Z72" s="214"/>
      <c r="AA72" s="214"/>
      <c r="AB72" s="214"/>
    </row>
    <row r="73" spans="1:28" s="152" customFormat="1" ht="6" customHeight="1" x14ac:dyDescent="0.35">
      <c r="D73" s="159"/>
      <c r="E73" s="155"/>
      <c r="F73" s="155"/>
      <c r="G73" s="159"/>
      <c r="H73" s="155"/>
      <c r="I73" s="204"/>
      <c r="J73" s="204"/>
      <c r="K73" s="272"/>
      <c r="L73" s="272"/>
      <c r="M73" s="272"/>
      <c r="N73" s="272"/>
      <c r="O73" s="297"/>
      <c r="P73" s="246"/>
      <c r="Q73" s="204"/>
      <c r="R73" s="159"/>
      <c r="S73" s="159"/>
      <c r="T73" s="159"/>
      <c r="U73" s="159"/>
      <c r="V73" s="159"/>
      <c r="W73" s="246"/>
      <c r="X73" s="156"/>
      <c r="Y73" s="79"/>
      <c r="Z73" s="214"/>
      <c r="AA73" s="214"/>
      <c r="AB73" s="214"/>
    </row>
    <row r="74" spans="1:28" s="152" customFormat="1" ht="6" customHeight="1" x14ac:dyDescent="0.35">
      <c r="D74" s="313"/>
      <c r="G74" s="313"/>
      <c r="I74" s="204"/>
      <c r="J74" s="204"/>
      <c r="K74" s="278"/>
      <c r="L74" s="278"/>
      <c r="M74" s="278"/>
      <c r="N74" s="278"/>
      <c r="O74" s="272"/>
      <c r="P74" s="246"/>
      <c r="Q74" s="204"/>
      <c r="R74" s="313"/>
      <c r="S74" s="313"/>
      <c r="T74" s="313"/>
      <c r="U74" s="313"/>
      <c r="V74" s="313"/>
      <c r="W74" s="313"/>
      <c r="X74" s="156"/>
      <c r="Y74" s="79"/>
      <c r="Z74" s="214"/>
      <c r="AA74" s="214"/>
      <c r="AB74" s="214"/>
    </row>
    <row r="75" spans="1:28" s="152" customFormat="1" ht="15" customHeight="1" x14ac:dyDescent="0.35">
      <c r="D75" s="162" t="s">
        <v>219</v>
      </c>
      <c r="F75" s="213"/>
      <c r="G75" s="313"/>
      <c r="K75" s="276"/>
      <c r="L75" s="276"/>
      <c r="M75" s="276"/>
      <c r="N75" s="276"/>
      <c r="O75" s="276"/>
      <c r="P75" s="356"/>
      <c r="Q75" s="204"/>
      <c r="R75" s="313"/>
      <c r="S75" s="313"/>
      <c r="T75" s="313"/>
      <c r="U75" s="313"/>
      <c r="V75" s="313"/>
      <c r="W75" s="313"/>
      <c r="X75" s="156"/>
      <c r="Y75" s="79"/>
      <c r="Z75" s="214"/>
      <c r="AA75" s="214"/>
      <c r="AB75" s="214"/>
    </row>
    <row r="76" spans="1:28" s="152" customFormat="1" ht="15" customHeight="1" x14ac:dyDescent="0.35">
      <c r="A76" s="313">
        <f>MAX($A$8:A75)+1</f>
        <v>40</v>
      </c>
      <c r="D76" s="216" t="s">
        <v>151</v>
      </c>
      <c r="E76" s="152" t="s">
        <v>42</v>
      </c>
      <c r="F76" s="213" t="str">
        <f>"["&amp;A76&amp;"]"</f>
        <v>[40]</v>
      </c>
      <c r="G76" s="313" t="str">
        <f>$F$58&amp;" + "&amp;$F$72</f>
        <v>[28] + [39]</v>
      </c>
      <c r="H76" s="168" t="str">
        <f>IF($AA76=$Z$2,$H$19,IF($AA76=$Z$3, $H$20, ""))</f>
        <v/>
      </c>
      <c r="K76" s="276">
        <f>K$58+K$72</f>
        <v>1951313617.1006637</v>
      </c>
      <c r="L76" s="276">
        <f>L$58+L$72</f>
        <v>1816681902.2263362</v>
      </c>
      <c r="M76" s="276">
        <f>M$58+M$72</f>
        <v>1808831962.0184393</v>
      </c>
      <c r="N76" s="276">
        <f>N$58+N$72</f>
        <v>1861580740.1125896</v>
      </c>
      <c r="O76" s="276">
        <f>O$58+O$72</f>
        <v>2126348551.0396273</v>
      </c>
      <c r="P76" s="153"/>
      <c r="R76" s="276">
        <f>R$58+R$72</f>
        <v>1956103347.5085211</v>
      </c>
      <c r="S76" s="276">
        <f>S$58+S$72</f>
        <v>1819670425.8049767</v>
      </c>
      <c r="T76" s="276">
        <f>T$58+T$72</f>
        <v>1811348085.1208434</v>
      </c>
      <c r="U76" s="276">
        <f>U$58+U$72</f>
        <v>1864494345.0842974</v>
      </c>
      <c r="V76" s="276">
        <f>V$58+V$72</f>
        <v>2133395220.3190463</v>
      </c>
      <c r="W76" s="153"/>
      <c r="X76" s="156"/>
      <c r="Y76" s="79"/>
      <c r="Z76" s="214"/>
      <c r="AA76" s="214"/>
      <c r="AB76" s="214"/>
    </row>
    <row r="77" spans="1:28" s="152" customFormat="1" ht="15" customHeight="1" x14ac:dyDescent="0.35">
      <c r="A77" s="313">
        <f>MAX($A$8:A76)+1</f>
        <v>41</v>
      </c>
      <c r="D77" s="247" t="s">
        <v>151</v>
      </c>
      <c r="E77" s="162" t="s">
        <v>5</v>
      </c>
      <c r="F77" s="243" t="str">
        <f>"["&amp;A77&amp;"]"</f>
        <v>[41]</v>
      </c>
      <c r="G77" s="2129" t="str">
        <f>$F$76&amp;" / ("&amp;$F$35&amp;" x 1000)"</f>
        <v>[40] / ([12] x 1000)</v>
      </c>
      <c r="H77" s="168" t="str">
        <f>IF($AA77=$Z$2,$H$19,IF($AA77=$Z$3, $H$20, ""))</f>
        <v/>
      </c>
      <c r="K77" s="277">
        <f>K$76/(K$35*1000)</f>
        <v>1513.677627701871</v>
      </c>
      <c r="L77" s="277">
        <f>L$76/(L$35*1000)</f>
        <v>1409.0495140187638</v>
      </c>
      <c r="M77" s="277">
        <f>M$76/(M$35*1000)</f>
        <v>1417.4199479200147</v>
      </c>
      <c r="N77" s="277">
        <f>N$76/(N$35*1000)</f>
        <v>1473.2835903290543</v>
      </c>
      <c r="O77" s="277">
        <f>O$76/(O$35*1000)</f>
        <v>1643.4909190289281</v>
      </c>
      <c r="P77" s="164"/>
      <c r="Q77" s="164"/>
      <c r="R77" s="164">
        <f>R$76/(R$35*1000)</f>
        <v>1517.3931287354105</v>
      </c>
      <c r="S77" s="164">
        <f>S$76/(S$35*1000)</f>
        <v>1411.367463953178</v>
      </c>
      <c r="T77" s="164">
        <f>T$76/(T$35*1000)</f>
        <v>1419.3916087219338</v>
      </c>
      <c r="U77" s="164">
        <f>U$76/(U$35*1000)</f>
        <v>1475.5894620546389</v>
      </c>
      <c r="V77" s="164">
        <f>V$76/(V$35*1000)</f>
        <v>1648.9374094288501</v>
      </c>
      <c r="W77" s="153"/>
      <c r="X77" s="156"/>
      <c r="Y77" s="79"/>
      <c r="Z77" s="214"/>
      <c r="AA77" s="214"/>
      <c r="AB77" s="214"/>
    </row>
    <row r="78" spans="1:28" ht="6" customHeight="1" thickBot="1" x14ac:dyDescent="0.4">
      <c r="D78" s="20"/>
      <c r="E78" s="20"/>
      <c r="F78" s="20"/>
      <c r="G78" s="44"/>
      <c r="H78" s="44"/>
      <c r="I78" s="44"/>
      <c r="J78" s="44"/>
      <c r="K78" s="44"/>
      <c r="L78" s="44"/>
      <c r="M78" s="44"/>
      <c r="N78" s="44"/>
      <c r="O78" s="44"/>
      <c r="P78" s="44"/>
      <c r="Q78" s="20"/>
      <c r="R78" s="20"/>
      <c r="S78" s="20"/>
      <c r="T78" s="20"/>
      <c r="U78" s="44"/>
      <c r="V78" s="44"/>
      <c r="W78" s="132"/>
      <c r="Y78"/>
    </row>
    <row r="79" spans="1:28" ht="6" customHeight="1" thickTop="1" x14ac:dyDescent="0.35">
      <c r="G79" s="26"/>
      <c r="Y79"/>
    </row>
    <row r="80" spans="1:28" ht="15" customHeight="1" x14ac:dyDescent="0.35">
      <c r="D80" s="5" t="s">
        <v>26</v>
      </c>
      <c r="Y80"/>
    </row>
    <row r="81" spans="4:28" s="1115" customFormat="1" ht="15" customHeight="1" x14ac:dyDescent="0.35">
      <c r="D81" s="404" t="s">
        <v>679</v>
      </c>
      <c r="Z81" s="36"/>
      <c r="AA81" s="36"/>
      <c r="AB81" s="36"/>
    </row>
    <row r="82" spans="4:28" ht="15" customHeight="1" x14ac:dyDescent="0.35">
      <c r="D82" s="93" t="str">
        <f>$H$26&amp;": "&amp;F19&amp;" or "&amp;F20&amp;"."</f>
        <v>[A]: [9] or [10].</v>
      </c>
      <c r="E82" s="1051"/>
      <c r="F82" s="1051"/>
      <c r="G82" s="1051"/>
      <c r="H82" s="1051"/>
      <c r="I82" s="1051"/>
      <c r="J82" s="1051"/>
      <c r="K82" s="93"/>
      <c r="L82" s="93"/>
      <c r="M82" s="1349"/>
      <c r="N82" s="93"/>
      <c r="O82" s="93"/>
      <c r="P82" s="1051"/>
      <c r="Q82" s="1051"/>
      <c r="R82" s="1051"/>
      <c r="S82" s="1051"/>
      <c r="T82" s="1051"/>
      <c r="U82" s="1051"/>
      <c r="V82" s="1048"/>
    </row>
    <row r="83" spans="4:28" ht="15" customHeight="1" x14ac:dyDescent="0.35">
      <c r="D83" s="93" t="str">
        <f>$R$26&amp;" to "&amp;$V$26&amp;": All cost components are escalated according to the Escalation Rate in "&amp;$H$26&amp;"."</f>
        <v>[G] to [K]: All cost components are escalated according to the Escalation Rate in [A].</v>
      </c>
      <c r="E83" s="1176"/>
      <c r="F83" s="1176"/>
      <c r="G83" s="1176"/>
      <c r="H83" s="1176"/>
      <c r="I83" s="1176"/>
      <c r="J83" s="1176"/>
      <c r="K83" s="93"/>
      <c r="L83" s="93"/>
      <c r="M83" s="93"/>
      <c r="N83" s="93"/>
      <c r="O83" s="93"/>
      <c r="P83" s="1176"/>
      <c r="Q83" s="1176"/>
      <c r="R83" s="1176"/>
      <c r="S83" s="1176"/>
      <c r="T83" s="1176"/>
      <c r="U83" s="1176"/>
      <c r="V83" s="1198"/>
    </row>
    <row r="84" spans="4:28" ht="15" customHeight="1" x14ac:dyDescent="0.35">
      <c r="D84" s="2144" t="str">
        <f>F41&amp;" to "&amp;F43&amp;", "&amp;F48&amp;", "&amp;F49&amp;": These line items are escalated to the equipment contract lock-in date using the Escalation Rate in "&amp;F19&amp;"."</f>
        <v>[14] to [16], [19], [20]: These line items are escalated to the equipment contract lock-in date using the Escalation Rate in [9].</v>
      </c>
      <c r="E84" s="1176"/>
      <c r="F84" s="1176"/>
      <c r="G84" s="1176"/>
      <c r="H84" s="1176"/>
      <c r="I84" s="1176"/>
      <c r="J84" s="1176"/>
      <c r="K84" s="93"/>
      <c r="L84" s="93"/>
      <c r="M84" s="93"/>
      <c r="N84" s="93"/>
      <c r="O84" s="93"/>
      <c r="P84" s="1176"/>
      <c r="Q84" s="1176"/>
      <c r="R84" s="1176"/>
      <c r="S84" s="1176"/>
      <c r="T84" s="1176"/>
      <c r="U84" s="1176"/>
      <c r="V84" s="1198"/>
    </row>
    <row r="85" spans="4:28" ht="15" customHeight="1" x14ac:dyDescent="0.35">
      <c r="D85" s="2144" t="str">
        <f>F50&amp;" to "&amp;F52&amp;", "&amp;F66&amp;" to "&amp;F68&amp;", "&amp;F70&amp;": These line items are escalated to the mid-point of construction using the Escalation Rate in "&amp;F20&amp;"."</f>
        <v>[21] to [23], [33] to [35], [37]: These line items are escalated to the mid-point of construction using the Escalation Rate in [10].</v>
      </c>
      <c r="E85" s="1048"/>
      <c r="F85" s="1048"/>
      <c r="G85" s="1048"/>
      <c r="H85" s="1048"/>
      <c r="I85" s="1048"/>
      <c r="J85" s="1048"/>
      <c r="K85" s="93"/>
      <c r="L85" s="93"/>
      <c r="M85" s="93"/>
      <c r="N85" s="93"/>
      <c r="O85" s="93"/>
      <c r="P85" s="1048"/>
      <c r="Q85" s="1048"/>
      <c r="R85" s="1048"/>
      <c r="S85" s="1048"/>
      <c r="T85" s="1048"/>
      <c r="U85" s="1048"/>
      <c r="V85" s="1048"/>
    </row>
    <row r="86" spans="4:28" ht="15" customHeight="1" x14ac:dyDescent="0.35">
      <c r="D86" s="2144" t="str">
        <f>F65&amp;": These line items are initially calculated in Nominal$ for the online year. In "&amp;K26&amp;" to "&amp;O26&amp;", these are de-escalated to the cost estimate date using the rate in "&amp;F21&amp;"."</f>
        <v>[32]: These line items are initially calculated in Nominal$ for the online year. In [B] to [F], these are de-escalated to the cost estimate date using the rate in [11].</v>
      </c>
      <c r="E86" s="1048"/>
      <c r="F86" s="1048"/>
      <c r="G86" s="1048"/>
      <c r="H86" s="1048"/>
      <c r="I86" s="1048"/>
      <c r="J86" s="1048"/>
      <c r="K86" s="93"/>
      <c r="L86" s="93"/>
      <c r="M86" s="93"/>
      <c r="N86" s="93"/>
      <c r="O86" s="93"/>
      <c r="P86" s="1048"/>
      <c r="Q86" s="1048"/>
      <c r="R86" s="1048"/>
      <c r="S86" s="1048"/>
      <c r="T86" s="1048"/>
      <c r="U86" s="1048"/>
      <c r="V86" s="1048"/>
    </row>
    <row r="87" spans="4:28" ht="15" customHeight="1" x14ac:dyDescent="0.35">
      <c r="D87" s="93" t="str">
        <f>F71&amp;": "&amp;$F$16&amp;" x SUM("&amp;F58&amp;":"&amp;F70&amp;") x Debt Fraction from Control Table."</f>
        <v>[38]: [8] x SUM([28]:[37]) x Debt Fraction from Control Table.</v>
      </c>
      <c r="E87" s="1048"/>
      <c r="F87" s="1048"/>
      <c r="G87" s="1048"/>
      <c r="H87" s="1048"/>
      <c r="I87" s="1048"/>
      <c r="J87" s="1048"/>
      <c r="K87" s="93"/>
      <c r="L87" s="93"/>
      <c r="M87" s="93"/>
      <c r="N87" s="93"/>
      <c r="O87" s="93"/>
      <c r="P87" s="1048"/>
      <c r="Q87" s="1048"/>
      <c r="R87" s="1048"/>
      <c r="S87" s="1048"/>
      <c r="T87" s="1048"/>
      <c r="U87" s="1048"/>
      <c r="V87" s="1048"/>
    </row>
    <row r="88" spans="4:28" ht="15" customHeight="1" x14ac:dyDescent="0.35">
      <c r="D88" s="93"/>
      <c r="E88" s="1048"/>
      <c r="F88" s="1048"/>
      <c r="G88" s="1048"/>
      <c r="H88" s="1048"/>
      <c r="I88" s="1048"/>
      <c r="J88" s="1048"/>
      <c r="K88" s="93"/>
      <c r="L88" s="93"/>
      <c r="M88" s="93"/>
      <c r="N88" s="93"/>
      <c r="O88" s="93"/>
      <c r="P88" s="1048"/>
      <c r="Q88" s="1048"/>
      <c r="R88" s="1048"/>
      <c r="S88" s="1048"/>
      <c r="T88" s="1048"/>
      <c r="U88" s="1048"/>
      <c r="V88" s="1048"/>
    </row>
    <row r="89" spans="4:28" ht="15" customHeight="1" x14ac:dyDescent="0.35">
      <c r="D89" s="93"/>
      <c r="E89" s="1048"/>
      <c r="F89" s="1048"/>
      <c r="G89" s="1048"/>
      <c r="H89" s="1048"/>
      <c r="I89" s="1048"/>
      <c r="J89" s="1048"/>
      <c r="K89" s="93"/>
      <c r="L89" s="93"/>
      <c r="M89" s="93"/>
      <c r="N89" s="93"/>
      <c r="O89" s="93"/>
      <c r="P89" s="1048"/>
      <c r="Q89" s="1048"/>
      <c r="R89" s="1048"/>
      <c r="S89" s="1048"/>
      <c r="T89" s="1048"/>
      <c r="U89" s="1048"/>
      <c r="V89" s="1048"/>
    </row>
    <row r="90" spans="4:28" ht="15" customHeight="1" x14ac:dyDescent="0.35">
      <c r="D90" s="93"/>
      <c r="E90" s="1048"/>
      <c r="F90" s="1048"/>
      <c r="G90" s="1048"/>
      <c r="H90" s="1048"/>
      <c r="I90" s="1048"/>
      <c r="J90" s="1048"/>
      <c r="K90" s="93"/>
      <c r="L90" s="93"/>
      <c r="M90" s="93"/>
      <c r="N90" s="93"/>
      <c r="O90" s="93"/>
      <c r="P90" s="1048"/>
      <c r="Q90" s="1048"/>
      <c r="R90" s="1048"/>
      <c r="S90" s="1048"/>
      <c r="T90" s="1048"/>
      <c r="U90" s="1048"/>
      <c r="V90" s="1048"/>
    </row>
    <row r="91" spans="4:28" ht="15" customHeight="1" x14ac:dyDescent="0.35">
      <c r="D91" s="93"/>
      <c r="E91" s="1048"/>
      <c r="F91" s="1048"/>
      <c r="G91" s="1048"/>
      <c r="H91" s="1048"/>
      <c r="I91" s="1048"/>
      <c r="J91" s="1048"/>
      <c r="K91" s="93"/>
      <c r="L91" s="93"/>
      <c r="M91" s="93"/>
      <c r="N91" s="93"/>
      <c r="O91" s="93"/>
      <c r="P91" s="1048"/>
      <c r="Q91" s="1048"/>
      <c r="R91" s="1048"/>
      <c r="S91" s="1048"/>
      <c r="T91" s="1048"/>
      <c r="U91" s="1048"/>
      <c r="V91" s="1048"/>
    </row>
    <row r="92" spans="4:28" ht="15" customHeight="1" x14ac:dyDescent="0.35">
      <c r="E92" s="93"/>
      <c r="F92" s="93"/>
      <c r="G92" s="93"/>
      <c r="H92" s="93"/>
      <c r="I92" s="93"/>
      <c r="J92" s="93"/>
      <c r="K92" s="93"/>
      <c r="L92" s="93"/>
      <c r="M92" s="93"/>
      <c r="N92" s="93"/>
      <c r="O92" s="93"/>
      <c r="P92" s="93"/>
      <c r="Q92" s="93"/>
      <c r="R92" s="93"/>
      <c r="S92" s="93"/>
      <c r="T92" s="93"/>
      <c r="U92" s="93"/>
      <c r="V92" s="93"/>
    </row>
    <row r="93" spans="4:28" ht="15" customHeight="1" x14ac:dyDescent="0.35">
      <c r="E93" s="93"/>
      <c r="F93" s="93"/>
      <c r="G93" s="93"/>
      <c r="H93" s="93"/>
      <c r="I93" s="93"/>
      <c r="J93" s="93"/>
      <c r="K93" s="93"/>
      <c r="L93" s="93"/>
      <c r="M93" s="93"/>
      <c r="N93" s="93"/>
      <c r="O93" s="93"/>
      <c r="P93" s="93"/>
      <c r="Q93" s="93"/>
      <c r="R93" s="93"/>
      <c r="S93" s="93"/>
      <c r="T93" s="93"/>
      <c r="U93" s="93"/>
      <c r="V93" s="93"/>
    </row>
    <row r="94" spans="4:28" ht="15" customHeight="1" x14ac:dyDescent="0.35">
      <c r="E94" s="93"/>
      <c r="F94" s="93"/>
      <c r="G94" s="93"/>
      <c r="H94" s="93"/>
      <c r="I94" s="93"/>
      <c r="J94" s="93"/>
      <c r="K94" s="93"/>
      <c r="L94" s="93"/>
      <c r="M94" s="93"/>
      <c r="N94" s="93"/>
      <c r="O94" s="93"/>
      <c r="P94" s="93"/>
      <c r="Q94" s="93"/>
      <c r="R94" s="93"/>
      <c r="S94" s="93"/>
      <c r="T94" s="93"/>
      <c r="U94" s="93"/>
      <c r="V94" s="93"/>
    </row>
    <row r="95" spans="4:28" ht="15" customHeight="1" x14ac:dyDescent="0.35">
      <c r="K95" s="93"/>
      <c r="L95" s="93"/>
      <c r="M95" s="93"/>
      <c r="N95" s="93"/>
      <c r="O95" s="93"/>
    </row>
    <row r="96" spans="4:28" ht="15" customHeight="1" x14ac:dyDescent="0.35">
      <c r="K96" s="93"/>
      <c r="L96" s="93"/>
      <c r="M96" s="93"/>
      <c r="N96" s="93"/>
      <c r="O96" s="93"/>
    </row>
    <row r="97" spans="11:15" ht="15" customHeight="1" x14ac:dyDescent="0.35">
      <c r="K97" s="93"/>
      <c r="L97" s="93"/>
      <c r="M97" s="93"/>
      <c r="N97" s="93"/>
      <c r="O97" s="93"/>
    </row>
  </sheetData>
  <mergeCells count="1">
    <mergeCell ref="D31:D32"/>
  </mergeCells>
  <conditionalFormatting sqref="X49:X77">
    <cfRule type="cellIs" dxfId="27" priority="5" operator="equal">
      <formula>TRUE</formula>
    </cfRule>
    <cfRule type="cellIs" dxfId="26" priority="6" operator="equal">
      <formula>TRUE</formula>
    </cfRule>
  </conditionalFormatting>
  <conditionalFormatting sqref="X81:Y81">
    <cfRule type="cellIs" dxfId="25" priority="1" operator="equal">
      <formula>TRUE</formula>
    </cfRule>
    <cfRule type="cellIs" dxfId="24"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K69:V69 G69"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4198-6A83-48DE-95DE-0B17929A6E45}">
  <sheetPr codeName="Sheet23">
    <pageSetUpPr autoPageBreaks="0"/>
  </sheetPr>
  <dimension ref="A1:AC76"/>
  <sheetViews>
    <sheetView showGridLines="0" zoomScale="70" zoomScaleNormal="70" workbookViewId="0"/>
  </sheetViews>
  <sheetFormatPr defaultColWidth="8.7265625" defaultRowHeight="15" customHeight="1" outlineLevelCol="1" x14ac:dyDescent="0.35"/>
  <cols>
    <col min="1" max="3" width="13.54296875" style="5" customWidth="1"/>
    <col min="4" max="4" width="56.7265625" style="26" bestFit="1" customWidth="1"/>
    <col min="5" max="5" width="26.1796875" style="5" bestFit="1" customWidth="1"/>
    <col min="6" max="6" width="5.7265625" style="5" customWidth="1"/>
    <col min="7" max="7" width="18.453125" style="5" bestFit="1" customWidth="1"/>
    <col min="8" max="8" width="13.54296875" style="5" bestFit="1" customWidth="1"/>
    <col min="9" max="10" width="0.81640625" style="5" customWidth="1"/>
    <col min="11" max="11" width="16.81640625" style="5" customWidth="1"/>
    <col min="12" max="15" width="13.54296875" style="5" customWidth="1"/>
    <col min="16" max="17" width="0.81640625" style="5" customWidth="1"/>
    <col min="18" max="25" width="13.54296875" style="5" customWidth="1"/>
    <col min="26" max="26" width="63.1796875" style="36" hidden="1" customWidth="1" outlineLevel="1"/>
    <col min="27" max="27" width="21.453125" style="36" hidden="1" customWidth="1" outlineLevel="1"/>
    <col min="28" max="28" width="29.7265625" style="36" hidden="1" customWidth="1" outlineLevel="1"/>
    <col min="29" max="29" width="8.7265625" collapsed="1"/>
    <col min="30" max="16384" width="8.7265625" style="5"/>
  </cols>
  <sheetData>
    <row r="1" spans="1:29" ht="15" customHeight="1" x14ac:dyDescent="0.35">
      <c r="A1" s="81" t="s">
        <v>275</v>
      </c>
      <c r="B1" s="414"/>
      <c r="H1" s="5">
        <v>65</v>
      </c>
      <c r="K1" s="5">
        <f>MAX($G$1:H1)+1</f>
        <v>66</v>
      </c>
      <c r="L1" s="5">
        <f>MAX($G$1:K1)+1</f>
        <v>67</v>
      </c>
      <c r="M1" s="5">
        <f>MAX($G$1:L1)+1</f>
        <v>68</v>
      </c>
      <c r="N1" s="5">
        <f>MAX($G$1:M1)+1</f>
        <v>69</v>
      </c>
      <c r="O1" s="5">
        <f>MAX($G$1:N1)+1</f>
        <v>70</v>
      </c>
      <c r="R1" s="5">
        <f>MAX($G$1:Q1)+1</f>
        <v>71</v>
      </c>
      <c r="S1" s="5">
        <f>MAX($G$1:R1)+1</f>
        <v>72</v>
      </c>
      <c r="T1" s="5">
        <f>MAX($G$1:S1)+1</f>
        <v>73</v>
      </c>
      <c r="U1" s="5">
        <f>MAX($G$1:T1)+1</f>
        <v>74</v>
      </c>
      <c r="V1" s="5">
        <f>MAX($G$1:U1)+1</f>
        <v>75</v>
      </c>
    </row>
    <row r="2" spans="1:29" ht="15" customHeight="1" x14ac:dyDescent="0.35">
      <c r="Z2" s="219" t="s">
        <v>585</v>
      </c>
    </row>
    <row r="3" spans="1:29" ht="15" customHeight="1" x14ac:dyDescent="0.35">
      <c r="D3" s="88" t="str">
        <f>LEFT($D4, FIND(":",$D4)-1)</f>
        <v>Table B8</v>
      </c>
      <c r="Z3" s="219" t="s">
        <v>515</v>
      </c>
    </row>
    <row r="4" spans="1:29" ht="15" customHeight="1" x14ac:dyDescent="0.35">
      <c r="D4" s="86" t="str">
        <f>ToC!$J$36</f>
        <v>Table B8: BESS Capital Cost Escalation</v>
      </c>
    </row>
    <row r="5" spans="1:29" ht="6" customHeight="1" thickBot="1" x14ac:dyDescent="0.4">
      <c r="D5" s="44"/>
      <c r="E5" s="20"/>
      <c r="F5" s="20"/>
      <c r="G5" s="20"/>
      <c r="H5" s="20"/>
      <c r="I5" s="20"/>
      <c r="J5" s="20"/>
      <c r="K5" s="20"/>
      <c r="L5" s="20"/>
      <c r="M5" s="20"/>
      <c r="N5" s="20"/>
      <c r="O5" s="20"/>
      <c r="P5" s="20"/>
      <c r="Q5" s="20"/>
      <c r="R5" s="20"/>
      <c r="S5" s="20"/>
      <c r="T5" s="20"/>
      <c r="U5" s="20"/>
      <c r="V5" s="20"/>
    </row>
    <row r="6" spans="1:29" ht="6" customHeight="1" thickTop="1" x14ac:dyDescent="0.35"/>
    <row r="7" spans="1:29" s="152" customFormat="1" ht="15" customHeight="1" x14ac:dyDescent="0.35">
      <c r="A7" s="313">
        <f>1</f>
        <v>1</v>
      </c>
      <c r="D7" s="235" t="str">
        <f>Control!$D$10</f>
        <v>Technology</v>
      </c>
      <c r="F7" s="213" t="str">
        <f>"["&amp;A7&amp;"]"</f>
        <v>[1]</v>
      </c>
      <c r="G7" s="313" t="str">
        <f>Control!$D$3</f>
        <v>Control Table</v>
      </c>
      <c r="H7" s="166" t="str">
        <f>Control!$K$10</f>
        <v>BESS</v>
      </c>
      <c r="I7" s="166"/>
      <c r="J7" s="166"/>
      <c r="K7" s="166"/>
      <c r="L7" s="166"/>
      <c r="M7" s="166"/>
      <c r="N7" s="166"/>
      <c r="O7" s="166"/>
      <c r="P7" s="166"/>
      <c r="Z7" s="214"/>
      <c r="AA7" s="214"/>
      <c r="AB7" s="214"/>
      <c r="AC7" s="79"/>
    </row>
    <row r="8" spans="1:29" s="152" customFormat="1" ht="6" customHeight="1" x14ac:dyDescent="0.35">
      <c r="A8" s="313"/>
      <c r="D8" s="216"/>
      <c r="E8" s="313"/>
      <c r="F8" s="312"/>
      <c r="G8" s="313"/>
      <c r="H8" s="218"/>
      <c r="I8" s="218"/>
      <c r="J8" s="218"/>
      <c r="K8" s="218"/>
      <c r="L8" s="218"/>
      <c r="M8" s="218"/>
      <c r="N8" s="218"/>
      <c r="O8" s="218"/>
      <c r="P8" s="218"/>
      <c r="Q8" s="218"/>
      <c r="Z8" s="214"/>
      <c r="AA8" s="214"/>
      <c r="AB8" s="214"/>
      <c r="AC8" s="79"/>
    </row>
    <row r="9" spans="1:29" s="152" customFormat="1" ht="15" customHeight="1" x14ac:dyDescent="0.35">
      <c r="D9" s="162" t="s">
        <v>213</v>
      </c>
      <c r="F9" s="213"/>
      <c r="G9" s="313"/>
      <c r="H9" s="169"/>
      <c r="I9" s="169"/>
      <c r="J9" s="169"/>
      <c r="K9" s="169"/>
      <c r="L9" s="169"/>
      <c r="M9" s="169"/>
      <c r="N9" s="169"/>
      <c r="O9" s="169"/>
      <c r="P9" s="169"/>
      <c r="Q9" s="169"/>
      <c r="Z9" s="214"/>
      <c r="AA9" s="214"/>
      <c r="AB9" s="214"/>
      <c r="AC9" s="79"/>
    </row>
    <row r="10" spans="1:29" s="152" customFormat="1" ht="15" customHeight="1" x14ac:dyDescent="0.35">
      <c r="A10" s="313">
        <f>MAX($A$7:A9)+1</f>
        <v>2</v>
      </c>
      <c r="D10" s="215" t="s">
        <v>147</v>
      </c>
      <c r="E10" s="154" t="str">
        <f>_xlfn.XLOOKUP($Z10,'S&amp;L BESS - Cost Assumptions'!$D$12:$D$65,'S&amp;L BESS - Cost Assumptions'!$E$12:$E$65)</f>
        <v>% of EPC costs</v>
      </c>
      <c r="F10" s="213" t="str">
        <f t="shared" ref="F10:F13" si="0">"["&amp;A10&amp;"]"</f>
        <v>[2]</v>
      </c>
      <c r="G10" s="313" t="str">
        <f>'S&amp;L BESS - Cost Assumptions'!$D$3</f>
        <v>Table C10</v>
      </c>
      <c r="H10" s="154">
        <f>INDEX('S&amp;L BESS - Cost Assumptions'!$F$12:$J$65,MATCH($Z10,'S&amp;L BESS - Cost Assumptions'!$D$12:$D$65,0),MATCH(Control!$H$11,'S&amp;L BESS - Cost Assumptions'!$F$7:$J$7,0))</f>
        <v>0.05</v>
      </c>
      <c r="I10" s="169"/>
      <c r="J10" s="169"/>
      <c r="K10" s="169"/>
      <c r="L10" s="169"/>
      <c r="M10" s="169"/>
      <c r="N10" s="169"/>
      <c r="O10" s="169"/>
      <c r="P10" s="169"/>
      <c r="Q10" s="169"/>
      <c r="Z10" s="214" t="str">
        <f>'S&amp;L BESS - Cost Assumptions'!$D47</f>
        <v>Project Development Cost</v>
      </c>
      <c r="AA10" s="214"/>
      <c r="AB10" s="214"/>
      <c r="AC10" s="79"/>
    </row>
    <row r="11" spans="1:29" s="152" customFormat="1" ht="15" customHeight="1" x14ac:dyDescent="0.35">
      <c r="A11" s="313">
        <f>MAX($A$7:A10)+1</f>
        <v>3</v>
      </c>
      <c r="D11" s="215" t="s">
        <v>148</v>
      </c>
      <c r="E11" s="154" t="str">
        <f>_xlfn.XLOOKUP($Z11,'S&amp;L BESS - Cost Assumptions'!$D$12:$D$65,'S&amp;L BESS - Cost Assumptions'!$E$12:$E$65)</f>
        <v>% of EPC costs</v>
      </c>
      <c r="F11" s="213" t="str">
        <f t="shared" si="0"/>
        <v>[3]</v>
      </c>
      <c r="G11" s="313" t="str">
        <f>'S&amp;L BESS - Cost Assumptions'!$D$3</f>
        <v>Table C10</v>
      </c>
      <c r="H11" s="154">
        <f>INDEX('S&amp;L BESS - Cost Assumptions'!$F$12:$J$65,MATCH($Z11,'S&amp;L BESS - Cost Assumptions'!$D$12:$D$65,0),MATCH(Control!$H$11,'S&amp;L BESS - Cost Assumptions'!$F$7:$J$7,0))</f>
        <v>0.01</v>
      </c>
      <c r="I11" s="169"/>
      <c r="J11" s="169"/>
      <c r="K11" s="169"/>
      <c r="L11" s="169"/>
      <c r="M11" s="169"/>
      <c r="N11" s="169"/>
      <c r="O11" s="169"/>
      <c r="P11" s="169"/>
      <c r="Q11" s="169"/>
      <c r="Z11" s="214" t="str">
        <f>'S&amp;L BESS - Cost Assumptions'!$D48</f>
        <v>Mobilization and Start-Up Cost</v>
      </c>
      <c r="AA11" s="214"/>
      <c r="AB11" s="214"/>
      <c r="AC11" s="79"/>
    </row>
    <row r="12" spans="1:29" s="152" customFormat="1" ht="15" customHeight="1" x14ac:dyDescent="0.35">
      <c r="A12" s="313">
        <f>MAX($A$7:A11)+1</f>
        <v>4</v>
      </c>
      <c r="D12" s="215" t="s">
        <v>84</v>
      </c>
      <c r="E12" s="154" t="str">
        <f>_xlfn.XLOOKUP($Z12,'S&amp;L BESS - Cost Assumptions'!$D$12:$D$65,'S&amp;L BESS - Cost Assumptions'!$E$12:$E$65)</f>
        <v>% of BESS Equipment Costs</v>
      </c>
      <c r="F12" s="213" t="str">
        <f t="shared" si="0"/>
        <v>[4]</v>
      </c>
      <c r="G12" s="313" t="str">
        <f>'S&amp;L BESS - Cost Assumptions'!$D$3</f>
        <v>Table C10</v>
      </c>
      <c r="H12" s="154">
        <f>INDEX('S&amp;L BESS - Cost Assumptions'!$F$12:$J$65,MATCH($Z12,'S&amp;L BESS - Cost Assumptions'!$D$12:$D$65,0),MATCH(Control!$H$11,'S&amp;L BESS - Cost Assumptions'!$F$7:$J$7,0))</f>
        <v>0.05</v>
      </c>
      <c r="I12" s="169"/>
      <c r="J12" s="169"/>
      <c r="K12" s="169"/>
      <c r="L12" s="169"/>
      <c r="M12" s="169"/>
      <c r="N12" s="169"/>
      <c r="O12" s="169"/>
      <c r="P12" s="169"/>
      <c r="Q12" s="169"/>
      <c r="Z12" s="214" t="str">
        <f>'S&amp;L BESS - Cost Assumptions'!$D50</f>
        <v>Owner Contingency</v>
      </c>
      <c r="AA12" s="214"/>
      <c r="AB12" s="214"/>
      <c r="AC12" s="79"/>
    </row>
    <row r="13" spans="1:29" s="152" customFormat="1" ht="15" customHeight="1" x14ac:dyDescent="0.35">
      <c r="A13" s="313">
        <f>MAX($A$7:A12)+1</f>
        <v>5</v>
      </c>
      <c r="D13" s="128" t="s">
        <v>85</v>
      </c>
      <c r="E13" s="313" t="s">
        <v>665</v>
      </c>
      <c r="F13" s="213" t="str">
        <f t="shared" si="0"/>
        <v>[5]</v>
      </c>
      <c r="G13" s="313" t="str">
        <f>'S&amp;L BESS - Cost Assumptions'!$D$3</f>
        <v>Table C10</v>
      </c>
      <c r="H13" s="154">
        <f>INDEX('S&amp;L BESS - Cost Assumptions'!$F$12:$J$65,MATCH($Z13,'S&amp;L BESS - Cost Assumptions'!$D$12:$D$65,0),MATCH(Control!$H$11,'S&amp;L BESS - Cost Assumptions'!$F$7:$J$7,0))</f>
        <v>0.04</v>
      </c>
      <c r="I13" s="154"/>
      <c r="J13" s="154"/>
      <c r="K13" s="154"/>
      <c r="L13" s="154"/>
      <c r="M13" s="154"/>
      <c r="N13" s="154"/>
      <c r="O13" s="154"/>
      <c r="P13" s="154"/>
      <c r="Q13" s="154"/>
      <c r="Z13" s="214" t="str">
        <f>'S&amp;L BESS - Cost Assumptions'!$D51</f>
        <v>Financing Fees</v>
      </c>
      <c r="AA13" s="214"/>
      <c r="AB13" s="214"/>
      <c r="AC13" s="79"/>
    </row>
    <row r="14" spans="1:29" s="152" customFormat="1" ht="6" customHeight="1" x14ac:dyDescent="0.35">
      <c r="A14" s="313"/>
      <c r="D14" s="245"/>
      <c r="F14" s="213"/>
      <c r="G14" s="313"/>
      <c r="H14" s="160"/>
      <c r="I14" s="160"/>
      <c r="J14" s="160"/>
      <c r="K14" s="160"/>
      <c r="L14" s="160"/>
      <c r="M14" s="160"/>
      <c r="N14" s="160"/>
      <c r="O14" s="160"/>
      <c r="P14" s="160"/>
      <c r="Q14" s="160"/>
      <c r="Z14" s="214"/>
      <c r="AA14" s="214"/>
      <c r="AB14" s="214"/>
      <c r="AC14" s="79"/>
    </row>
    <row r="15" spans="1:29" s="161" customFormat="1" ht="15" customHeight="1" x14ac:dyDescent="0.35">
      <c r="A15" s="313"/>
      <c r="D15" s="1049" t="s">
        <v>214</v>
      </c>
      <c r="E15" s="162"/>
      <c r="F15" s="243"/>
      <c r="G15" s="2129"/>
      <c r="H15" s="170"/>
      <c r="I15" s="170"/>
      <c r="J15" s="170"/>
      <c r="K15" s="170"/>
      <c r="L15" s="170"/>
      <c r="M15" s="170"/>
      <c r="N15" s="170"/>
      <c r="O15" s="170"/>
      <c r="P15" s="170"/>
      <c r="Q15" s="170"/>
      <c r="Z15" s="217"/>
      <c r="AA15" s="217"/>
      <c r="AB15" s="217"/>
      <c r="AC15" s="211"/>
    </row>
    <row r="16" spans="1:29" s="161" customFormat="1" ht="15" customHeight="1" x14ac:dyDescent="0.35">
      <c r="A16" s="313">
        <f>MAX($A$7:A15)+1</f>
        <v>6</v>
      </c>
      <c r="B16" s="152"/>
      <c r="C16" s="152"/>
      <c r="D16" s="216" t="s">
        <v>570</v>
      </c>
      <c r="E16" s="313" t="s">
        <v>10</v>
      </c>
      <c r="F16" s="213" t="str">
        <f t="shared" ref="F16:F21" si="1">"["&amp;A16&amp;"]"</f>
        <v>[6]</v>
      </c>
      <c r="G16" s="313" t="str">
        <f>'Cumulative Inflation'!$D$3</f>
        <v>Table B9</v>
      </c>
      <c r="H16" s="154">
        <f>_xlfn.XLOOKUP($H$7,'Cumulative Inflation'!$H$7:$J$7,'Cumulative Inflation'!$H18:$J18)-1</f>
        <v>5.5158746872151942E-2</v>
      </c>
      <c r="I16" s="154"/>
      <c r="J16" s="154"/>
      <c r="K16" s="154"/>
      <c r="L16" s="154"/>
      <c r="M16" s="154"/>
      <c r="N16" s="154"/>
      <c r="O16" s="154"/>
      <c r="P16" s="154"/>
      <c r="Q16" s="154"/>
      <c r="Z16" s="217"/>
      <c r="AA16" s="217"/>
      <c r="AB16" s="217"/>
      <c r="AC16" s="211"/>
    </row>
    <row r="17" spans="1:29" s="161" customFormat="1" ht="15" customHeight="1" x14ac:dyDescent="0.35">
      <c r="A17" s="313">
        <f>MAX($A$7:A16)+1</f>
        <v>7</v>
      </c>
      <c r="B17" s="152"/>
      <c r="C17" s="152"/>
      <c r="D17" s="216" t="s">
        <v>571</v>
      </c>
      <c r="E17" s="313" t="s">
        <v>10</v>
      </c>
      <c r="F17" s="213" t="str">
        <f t="shared" si="1"/>
        <v>[7]</v>
      </c>
      <c r="G17" s="313" t="str">
        <f>'Cumulative Inflation'!$D$3</f>
        <v>Table B9</v>
      </c>
      <c r="H17" s="154">
        <f>_xlfn.XLOOKUP($H$7,'Cumulative Inflation'!$H$7:$J$7,'Cumulative Inflation'!$H19:$J19)-1</f>
        <v>6.788357632263553E-2</v>
      </c>
      <c r="I17" s="154"/>
      <c r="J17" s="154"/>
      <c r="K17" s="154"/>
      <c r="L17" s="154"/>
      <c r="M17" s="154"/>
      <c r="N17" s="154"/>
      <c r="O17" s="154"/>
      <c r="P17" s="154"/>
      <c r="Q17" s="154"/>
      <c r="Z17" s="217"/>
      <c r="AA17" s="217"/>
      <c r="AB17" s="217"/>
      <c r="AC17" s="211"/>
    </row>
    <row r="18" spans="1:29" s="161" customFormat="1" ht="15" customHeight="1" x14ac:dyDescent="0.35">
      <c r="A18" s="313">
        <f>MAX($A$7:A17)+1</f>
        <v>8</v>
      </c>
      <c r="B18" s="152"/>
      <c r="C18" s="152"/>
      <c r="D18" s="216" t="s">
        <v>572</v>
      </c>
      <c r="E18" s="313" t="s">
        <v>10</v>
      </c>
      <c r="F18" s="213" t="str">
        <f t="shared" si="1"/>
        <v>[8]</v>
      </c>
      <c r="G18" s="313" t="str">
        <f>'Cumulative Inflation'!$D$3</f>
        <v>Table B9</v>
      </c>
      <c r="H18" s="154">
        <f>_xlfn.XLOOKUP($H$7,'Cumulative Inflation'!$H$7:$J$7,'Cumulative Inflation'!$H20:$J20)-1</f>
        <v>8.9329218702034474E-2</v>
      </c>
      <c r="I18" s="154"/>
      <c r="J18" s="154"/>
      <c r="K18" s="154"/>
      <c r="L18" s="154"/>
      <c r="M18" s="154"/>
      <c r="N18" s="154"/>
      <c r="O18" s="154"/>
      <c r="P18" s="154"/>
      <c r="Q18" s="154"/>
      <c r="R18" s="1152"/>
      <c r="S18" s="1152"/>
      <c r="Z18" s="217"/>
      <c r="AA18" s="217"/>
      <c r="AB18" s="217"/>
      <c r="AC18" s="211"/>
    </row>
    <row r="19" spans="1:29" s="161" customFormat="1" ht="15" customHeight="1" x14ac:dyDescent="0.35">
      <c r="A19" s="313">
        <f>MAX($A$7:A18)+1</f>
        <v>9</v>
      </c>
      <c r="B19" s="152"/>
      <c r="C19" s="152"/>
      <c r="D19" s="216" t="s">
        <v>573</v>
      </c>
      <c r="E19" s="313" t="s">
        <v>10</v>
      </c>
      <c r="F19" s="213" t="str">
        <f t="shared" si="1"/>
        <v>[9]</v>
      </c>
      <c r="G19" s="313" t="str">
        <f>'BESS Augmentation Trend'!$D$3</f>
        <v>Table C5</v>
      </c>
      <c r="H19" s="154">
        <f>_xlfn.XLOOKUP(YEAR($AB$19),'BESS Augmentation Trend'!$I$18:$AH$18,'BESS Augmentation Trend'!$I$20:$AH$20)/100-1</f>
        <v>0</v>
      </c>
      <c r="I19" s="154"/>
      <c r="J19" s="154"/>
      <c r="K19" s="1152"/>
      <c r="L19" s="154"/>
      <c r="M19" s="154"/>
      <c r="N19" s="154"/>
      <c r="O19" s="154"/>
      <c r="P19" s="154"/>
      <c r="Q19" s="154"/>
      <c r="S19" s="1152"/>
      <c r="Z19" s="219" t="str">
        <f>Control!$D$38</f>
        <v>Equipment Contract Lock-In Date</v>
      </c>
      <c r="AA19" s="214"/>
      <c r="AB19" s="1338">
        <f>INDEX('Cumulative Inflation'!$H$11:$J$14,MATCH($Z19,'Cumulative Inflation'!$D$11:$D$14,0),MATCH($H$7,'Cumulative Inflation'!$H$7:$J$7,0))</f>
        <v>46419</v>
      </c>
      <c r="AC19" s="211"/>
    </row>
    <row r="20" spans="1:29" s="161" customFormat="1" ht="15" customHeight="1" x14ac:dyDescent="0.35">
      <c r="A20" s="313">
        <f>MAX($A$7:A19)+1</f>
        <v>10</v>
      </c>
      <c r="B20" s="152"/>
      <c r="C20" s="152"/>
      <c r="D20" s="216" t="s">
        <v>550</v>
      </c>
      <c r="E20" s="313" t="s">
        <v>10</v>
      </c>
      <c r="F20" s="213" t="str">
        <f t="shared" si="1"/>
        <v>[10]</v>
      </c>
      <c r="G20" s="313" t="str">
        <f>F16&amp;" + "&amp;F19</f>
        <v>[6] + [9]</v>
      </c>
      <c r="H20" s="154">
        <f>H16+H19</f>
        <v>5.5158746872151942E-2</v>
      </c>
      <c r="I20" s="154"/>
      <c r="J20" s="154"/>
      <c r="K20" s="1152"/>
      <c r="L20" s="1152"/>
      <c r="M20" s="1152"/>
      <c r="N20" s="154"/>
      <c r="Q20" s="154"/>
      <c r="R20" s="1152"/>
      <c r="S20" s="1152"/>
      <c r="T20" s="165"/>
      <c r="Z20" s="217"/>
      <c r="AA20" s="217"/>
      <c r="AB20" s="217"/>
      <c r="AC20" s="211"/>
    </row>
    <row r="21" spans="1:29" s="161" customFormat="1" ht="15" customHeight="1" x14ac:dyDescent="0.35">
      <c r="A21" s="313">
        <f>MAX($A$7:A20)+1</f>
        <v>11</v>
      </c>
      <c r="B21" s="152"/>
      <c r="C21" s="152"/>
      <c r="D21" s="216" t="str">
        <f>Control!$D$29</f>
        <v>Tariff Adjustment Factor for Batteries and Enclosures</v>
      </c>
      <c r="E21" s="313" t="s">
        <v>506</v>
      </c>
      <c r="F21" s="213" t="str">
        <f t="shared" si="1"/>
        <v>[11]</v>
      </c>
      <c r="G21" s="313" t="str">
        <f>Control!$D$3</f>
        <v>Control Table</v>
      </c>
      <c r="H21" s="391">
        <f>Control!$H$29</f>
        <v>1</v>
      </c>
      <c r="I21" s="154"/>
      <c r="J21" s="154"/>
      <c r="K21" s="1152"/>
      <c r="L21" s="1152"/>
      <c r="M21" s="1152"/>
      <c r="N21" s="154"/>
      <c r="Q21" s="154"/>
      <c r="R21" s="1152"/>
      <c r="S21" s="1152"/>
      <c r="T21" s="165"/>
      <c r="Z21" s="217"/>
      <c r="AA21" s="217"/>
      <c r="AB21" s="217"/>
      <c r="AC21" s="211"/>
    </row>
    <row r="22" spans="1:29" s="152" customFormat="1" ht="6" customHeight="1" x14ac:dyDescent="0.35">
      <c r="A22" s="313"/>
      <c r="D22" s="159"/>
      <c r="E22" s="155"/>
      <c r="F22" s="155"/>
      <c r="G22" s="159"/>
      <c r="H22" s="155"/>
      <c r="I22" s="155"/>
      <c r="J22" s="155"/>
      <c r="K22" s="155"/>
      <c r="L22" s="155"/>
      <c r="M22" s="155"/>
      <c r="N22" s="155"/>
      <c r="O22" s="155"/>
      <c r="P22" s="155"/>
      <c r="Q22" s="155"/>
      <c r="R22" s="155"/>
      <c r="S22" s="155"/>
      <c r="T22" s="155"/>
      <c r="U22" s="155"/>
      <c r="V22" s="155"/>
      <c r="X22" s="79"/>
      <c r="Z22" s="214"/>
      <c r="AA22" s="214"/>
      <c r="AB22" s="214"/>
      <c r="AC22" s="79"/>
    </row>
    <row r="23" spans="1:29" s="152" customFormat="1" ht="6" customHeight="1" x14ac:dyDescent="0.35">
      <c r="D23" s="313"/>
      <c r="G23" s="313"/>
      <c r="X23" s="79"/>
      <c r="Z23" s="214"/>
      <c r="AA23" s="214"/>
      <c r="AB23" s="214"/>
      <c r="AC23" s="79"/>
    </row>
    <row r="24" spans="1:29" s="152" customFormat="1" ht="30" customHeight="1" x14ac:dyDescent="0.35">
      <c r="D24" s="313"/>
      <c r="G24" s="313"/>
      <c r="H24" s="1153" t="s">
        <v>537</v>
      </c>
      <c r="I24" s="233"/>
      <c r="J24" s="233"/>
      <c r="K24" s="1665" t="s">
        <v>149</v>
      </c>
      <c r="L24" s="1056"/>
      <c r="M24" s="1056"/>
      <c r="N24" s="1056"/>
      <c r="O24" s="1056"/>
      <c r="P24" s="2066"/>
      <c r="Q24" s="352"/>
      <c r="R24" s="1665" t="s">
        <v>152</v>
      </c>
      <c r="S24" s="1056"/>
      <c r="T24" s="1056"/>
      <c r="U24" s="1056"/>
      <c r="V24" s="1056"/>
      <c r="X24" s="79"/>
      <c r="Z24" s="214"/>
      <c r="AA24" s="214"/>
      <c r="AB24" s="214"/>
      <c r="AC24" s="79"/>
    </row>
    <row r="25" spans="1:29" s="152" customFormat="1" ht="6" customHeight="1" x14ac:dyDescent="0.35">
      <c r="D25" s="313"/>
      <c r="G25" s="313"/>
      <c r="H25" s="233"/>
      <c r="I25" s="233"/>
      <c r="J25" s="233"/>
      <c r="K25" s="352"/>
      <c r="L25" s="352"/>
      <c r="M25" s="352"/>
      <c r="N25" s="352"/>
      <c r="O25" s="352"/>
      <c r="P25" s="352"/>
      <c r="Q25" s="352"/>
      <c r="R25" s="352"/>
      <c r="S25" s="352"/>
      <c r="T25" s="352"/>
      <c r="U25" s="352"/>
      <c r="V25" s="352"/>
      <c r="X25" s="79"/>
      <c r="Z25" s="214"/>
      <c r="AA25" s="214"/>
      <c r="AB25" s="214"/>
      <c r="AC25" s="79"/>
    </row>
    <row r="26" spans="1:29" s="152" customFormat="1" ht="15" customHeight="1" x14ac:dyDescent="0.35">
      <c r="D26" s="313"/>
      <c r="G26" s="313"/>
      <c r="H26" s="234" t="str">
        <f>"["&amp;CHAR(H1)&amp;"]"</f>
        <v>[A]</v>
      </c>
      <c r="I26" s="234"/>
      <c r="J26" s="234"/>
      <c r="K26" s="234" t="str">
        <f>"["&amp;CHAR(K$1)&amp;"]"</f>
        <v>[B]</v>
      </c>
      <c r="L26" s="234" t="str">
        <f>"["&amp;CHAR(L$1)&amp;"]"</f>
        <v>[C]</v>
      </c>
      <c r="M26" s="234" t="str">
        <f>"["&amp;CHAR(M$1)&amp;"]"</f>
        <v>[D]</v>
      </c>
      <c r="N26" s="234" t="str">
        <f>"["&amp;CHAR(N$1)&amp;"]"</f>
        <v>[E]</v>
      </c>
      <c r="O26" s="234" t="str">
        <f>"["&amp;CHAR(O$1)&amp;"]"</f>
        <v>[F]</v>
      </c>
      <c r="P26" s="234"/>
      <c r="Q26" s="354"/>
      <c r="R26" s="234" t="str">
        <f>"["&amp;CHAR(R$1)&amp;"]"</f>
        <v>[G]</v>
      </c>
      <c r="S26" s="234" t="str">
        <f>"["&amp;CHAR(S$1)&amp;"]"</f>
        <v>[H]</v>
      </c>
      <c r="T26" s="234" t="str">
        <f>"["&amp;CHAR(T$1)&amp;"]"</f>
        <v>[I]</v>
      </c>
      <c r="U26" s="234" t="str">
        <f>"["&amp;CHAR(U$1)&amp;"]"</f>
        <v>[J]</v>
      </c>
      <c r="V26" s="234" t="str">
        <f>"["&amp;CHAR(V$1)&amp;"]"</f>
        <v>[K]</v>
      </c>
      <c r="X26" s="79"/>
      <c r="Z26" s="214"/>
      <c r="AA26" s="214"/>
      <c r="AB26" s="214"/>
      <c r="AC26" s="79"/>
    </row>
    <row r="27" spans="1:29" s="152" customFormat="1" ht="15" customHeight="1" x14ac:dyDescent="0.35">
      <c r="D27" s="313"/>
      <c r="G27" s="313"/>
      <c r="H27" s="234" t="s">
        <v>10</v>
      </c>
      <c r="I27" s="234"/>
      <c r="J27" s="234"/>
      <c r="K27" s="166" t="str">
        <f>YEAR(Control!$H$18)&amp;"$"</f>
        <v>2025$</v>
      </c>
      <c r="L27" s="166" t="str">
        <f>YEAR(Control!$H$18)&amp;"$"</f>
        <v>2025$</v>
      </c>
      <c r="M27" s="166" t="str">
        <f>YEAR(Control!$H$18)&amp;"$"</f>
        <v>2025$</v>
      </c>
      <c r="N27" s="166" t="str">
        <f>YEAR(Control!$H$18)&amp;"$"</f>
        <v>2025$</v>
      </c>
      <c r="O27" s="166" t="str">
        <f>YEAR(Control!$H$18)&amp;"$"</f>
        <v>2025$</v>
      </c>
      <c r="P27" s="166"/>
      <c r="Q27" s="257"/>
      <c r="R27" s="166" t="s">
        <v>259</v>
      </c>
      <c r="S27" s="166" t="s">
        <v>259</v>
      </c>
      <c r="T27" s="166" t="s">
        <v>259</v>
      </c>
      <c r="U27" s="166" t="s">
        <v>259</v>
      </c>
      <c r="V27" s="166" t="s">
        <v>259</v>
      </c>
      <c r="X27" s="79"/>
      <c r="Z27" s="214"/>
      <c r="AA27" s="214"/>
      <c r="AB27" s="214"/>
      <c r="AC27" s="79"/>
    </row>
    <row r="28" spans="1:29" s="152" customFormat="1" ht="15" customHeight="1" x14ac:dyDescent="0.35">
      <c r="D28" s="313"/>
      <c r="G28" s="313"/>
      <c r="H28" s="166" t="s">
        <v>39</v>
      </c>
      <c r="I28" s="354"/>
      <c r="J28" s="354"/>
      <c r="K28" s="234"/>
      <c r="L28" s="234"/>
      <c r="M28" s="234"/>
      <c r="N28" s="234"/>
      <c r="O28" s="234"/>
      <c r="P28" s="234"/>
      <c r="Q28" s="354"/>
      <c r="R28" s="166" t="s">
        <v>39</v>
      </c>
      <c r="S28" s="166" t="s">
        <v>39</v>
      </c>
      <c r="T28" s="166" t="s">
        <v>39</v>
      </c>
      <c r="U28" s="166" t="s">
        <v>39</v>
      </c>
      <c r="V28" s="166" t="s">
        <v>39</v>
      </c>
      <c r="X28" s="79"/>
      <c r="Z28" s="214"/>
      <c r="AA28" s="214"/>
      <c r="AB28" s="214"/>
      <c r="AC28" s="79"/>
    </row>
    <row r="29" spans="1:29" s="152" customFormat="1" ht="6" customHeight="1" x14ac:dyDescent="0.35">
      <c r="A29" s="313"/>
      <c r="D29" s="262"/>
      <c r="E29" s="263"/>
      <c r="F29" s="264"/>
      <c r="G29" s="265"/>
      <c r="H29" s="266"/>
      <c r="I29" s="355"/>
      <c r="J29" s="355"/>
      <c r="K29" s="266"/>
      <c r="L29" s="266"/>
      <c r="M29" s="266"/>
      <c r="N29" s="266"/>
      <c r="O29" s="266"/>
      <c r="P29" s="355"/>
      <c r="Q29" s="355"/>
      <c r="R29" s="263"/>
      <c r="S29" s="263"/>
      <c r="T29" s="263"/>
      <c r="U29" s="263"/>
      <c r="V29" s="263"/>
      <c r="X29" s="79"/>
      <c r="Z29" s="214"/>
      <c r="AA29" s="219"/>
      <c r="AB29" s="219"/>
      <c r="AC29" s="79"/>
    </row>
    <row r="30" spans="1:29" s="152" customFormat="1" ht="6" customHeight="1" x14ac:dyDescent="0.35">
      <c r="A30" s="313"/>
      <c r="D30" s="267"/>
      <c r="E30" s="268"/>
      <c r="F30" s="269"/>
      <c r="G30" s="270"/>
      <c r="H30" s="271"/>
      <c r="I30" s="355"/>
      <c r="J30" s="355"/>
      <c r="K30" s="271"/>
      <c r="L30" s="271"/>
      <c r="M30" s="271"/>
      <c r="N30" s="271"/>
      <c r="O30" s="271"/>
      <c r="P30" s="355"/>
      <c r="Q30" s="355"/>
      <c r="R30" s="268"/>
      <c r="S30" s="268"/>
      <c r="T30" s="268"/>
      <c r="U30" s="268"/>
      <c r="V30" s="268"/>
      <c r="X30" s="79"/>
      <c r="Z30" s="214"/>
      <c r="AA30" s="219"/>
      <c r="AB30" s="219"/>
      <c r="AC30" s="79"/>
    </row>
    <row r="31" spans="1:29" s="152" customFormat="1" ht="15" customHeight="1" x14ac:dyDescent="0.35">
      <c r="A31" s="313"/>
      <c r="D31" s="2201" t="s">
        <v>298</v>
      </c>
      <c r="F31" s="213"/>
      <c r="G31" s="313"/>
      <c r="I31" s="204"/>
      <c r="J31" s="204"/>
      <c r="K31" s="220" t="s">
        <v>288</v>
      </c>
      <c r="L31" s="220" t="s">
        <v>289</v>
      </c>
      <c r="M31" s="220" t="s">
        <v>290</v>
      </c>
      <c r="N31" s="220" t="s">
        <v>291</v>
      </c>
      <c r="O31" s="220" t="s">
        <v>299</v>
      </c>
      <c r="P31" s="220"/>
      <c r="Q31" s="328"/>
      <c r="R31" s="220" t="s">
        <v>288</v>
      </c>
      <c r="S31" s="220" t="s">
        <v>289</v>
      </c>
      <c r="T31" s="220" t="s">
        <v>290</v>
      </c>
      <c r="U31" s="220" t="s">
        <v>291</v>
      </c>
      <c r="V31" s="220" t="s">
        <v>299</v>
      </c>
      <c r="X31" s="79"/>
      <c r="Z31" s="214"/>
      <c r="AA31" s="219"/>
      <c r="AB31" s="219"/>
      <c r="AC31" s="79"/>
    </row>
    <row r="32" spans="1:29" s="152" customFormat="1" ht="15" customHeight="1" x14ac:dyDescent="0.35">
      <c r="A32" s="313"/>
      <c r="D32" s="2201"/>
      <c r="F32" s="213"/>
      <c r="G32" s="313"/>
      <c r="I32" s="204"/>
      <c r="J32" s="204"/>
      <c r="K32" s="248">
        <v>1</v>
      </c>
      <c r="L32" s="248">
        <v>2</v>
      </c>
      <c r="M32" s="248">
        <v>3</v>
      </c>
      <c r="N32" s="248">
        <v>4</v>
      </c>
      <c r="O32" s="248">
        <v>5</v>
      </c>
      <c r="P32" s="248"/>
      <c r="Q32" s="328"/>
      <c r="R32" s="248">
        <v>1</v>
      </c>
      <c r="S32" s="248">
        <v>2</v>
      </c>
      <c r="T32" s="248">
        <v>3</v>
      </c>
      <c r="U32" s="248">
        <v>4</v>
      </c>
      <c r="V32" s="248">
        <v>5</v>
      </c>
      <c r="X32" s="79"/>
      <c r="Z32" s="214"/>
      <c r="AA32" s="219"/>
      <c r="AB32" s="219"/>
      <c r="AC32" s="79"/>
    </row>
    <row r="33" spans="1:29" s="152" customFormat="1" ht="15" customHeight="1" x14ac:dyDescent="0.35">
      <c r="A33" s="313"/>
      <c r="D33" s="1050" t="s">
        <v>208</v>
      </c>
      <c r="F33" s="213"/>
      <c r="G33" s="313"/>
      <c r="K33" s="248"/>
      <c r="L33" s="248"/>
      <c r="M33" s="248"/>
      <c r="N33" s="248"/>
      <c r="O33" s="248"/>
      <c r="P33" s="248"/>
      <c r="Q33" s="154"/>
      <c r="R33" s="248"/>
      <c r="S33" s="248"/>
      <c r="T33" s="248"/>
      <c r="U33" s="248"/>
      <c r="V33" s="248"/>
      <c r="X33" s="79"/>
      <c r="Z33" s="214"/>
      <c r="AA33" s="214"/>
      <c r="AB33" s="214"/>
      <c r="AC33" s="79"/>
    </row>
    <row r="34" spans="1:29" s="152" customFormat="1" ht="6" customHeight="1" x14ac:dyDescent="0.35">
      <c r="A34" s="313"/>
      <c r="D34" s="1050"/>
      <c r="F34" s="213"/>
      <c r="G34" s="313"/>
      <c r="K34" s="248"/>
      <c r="L34" s="248"/>
      <c r="M34" s="248"/>
      <c r="N34" s="248"/>
      <c r="O34" s="248"/>
      <c r="P34" s="248"/>
      <c r="Q34" s="154"/>
      <c r="R34" s="248"/>
      <c r="S34" s="248"/>
      <c r="T34" s="248"/>
      <c r="U34" s="248"/>
      <c r="V34" s="248"/>
      <c r="X34" s="79"/>
      <c r="Z34" s="214"/>
      <c r="AA34" s="214"/>
      <c r="AB34" s="214"/>
      <c r="AC34" s="79"/>
    </row>
    <row r="35" spans="1:29" s="152" customFormat="1" ht="15" customHeight="1" x14ac:dyDescent="0.35">
      <c r="A35" s="313">
        <f>MAX($A$8:A34)+1</f>
        <v>12</v>
      </c>
      <c r="D35" s="215" t="str">
        <f>Control!$D$42</f>
        <v>Net Summer Capacity</v>
      </c>
      <c r="E35" s="152" t="s">
        <v>4</v>
      </c>
      <c r="F35" s="213" t="str">
        <f>"["&amp;A35&amp;"]"</f>
        <v>[12]</v>
      </c>
      <c r="G35" s="313" t="str">
        <f>'S&amp;L BESS - Cost Assumptions'!$D$3</f>
        <v>Table C10</v>
      </c>
      <c r="I35" s="299"/>
      <c r="J35" s="299"/>
      <c r="K35" s="169">
        <f>INDEX('S&amp;L BESS - Cost Assumptions'!$F$12:$J$65,MATCH($Z$35,'S&amp;L BESS - Cost Assumptions'!$D$12:$D$65,0),MATCH(K$31,'S&amp;L BESS - Cost Assumptions'!$F$7:$J$7,0))</f>
        <v>200</v>
      </c>
      <c r="L35" s="169">
        <f>INDEX('S&amp;L BESS - Cost Assumptions'!$F$12:$J$65,MATCH($Z$35,'S&amp;L BESS - Cost Assumptions'!$D$12:$D$65,0),MATCH(L$31,'S&amp;L BESS - Cost Assumptions'!$F$7:$J$7,0))</f>
        <v>200</v>
      </c>
      <c r="M35" s="169">
        <f>INDEX('S&amp;L BESS - Cost Assumptions'!$F$12:$J$65,MATCH($Z$35,'S&amp;L BESS - Cost Assumptions'!$D$12:$D$65,0),MATCH(M$31,'S&amp;L BESS - Cost Assumptions'!$F$7:$J$7,0))</f>
        <v>200</v>
      </c>
      <c r="N35" s="169">
        <f>INDEX('S&amp;L BESS - Cost Assumptions'!$F$12:$J$65,MATCH($Z$35,'S&amp;L BESS - Cost Assumptions'!$D$12:$D$65,0),MATCH(N$31,'S&amp;L BESS - Cost Assumptions'!$F$7:$J$7,0))</f>
        <v>200</v>
      </c>
      <c r="O35" s="169">
        <f>INDEX('S&amp;L BESS - Cost Assumptions'!$F$12:$J$65,MATCH($Z$35,'S&amp;L BESS - Cost Assumptions'!$D$12:$D$65,0),MATCH(O$31,'S&amp;L BESS - Cost Assumptions'!$F$7:$J$7,0))</f>
        <v>200</v>
      </c>
      <c r="P35" s="169"/>
      <c r="Q35" s="283"/>
      <c r="R35" s="169">
        <f>INDEX('S&amp;L BESS - Cost Assumptions'!$F$12:$J$65,MATCH($Z$35,'S&amp;L BESS - Cost Assumptions'!$D$12:$D$65,0),MATCH(R$31,'S&amp;L BESS - Cost Assumptions'!$F$7:$J$7,0))</f>
        <v>200</v>
      </c>
      <c r="S35" s="169">
        <f>INDEX('S&amp;L BESS - Cost Assumptions'!$F$12:$J$65,MATCH($Z$35,'S&amp;L BESS - Cost Assumptions'!$D$12:$D$65,0),MATCH(S$31,'S&amp;L BESS - Cost Assumptions'!$F$7:$J$7,0))</f>
        <v>200</v>
      </c>
      <c r="T35" s="169">
        <f>INDEX('S&amp;L BESS - Cost Assumptions'!$F$12:$J$65,MATCH($Z$35,'S&amp;L BESS - Cost Assumptions'!$D$12:$D$65,0),MATCH(T$31,'S&amp;L BESS - Cost Assumptions'!$F$7:$J$7,0))</f>
        <v>200</v>
      </c>
      <c r="U35" s="169">
        <f>INDEX('S&amp;L BESS - Cost Assumptions'!$F$12:$J$65,MATCH($Z$35,'S&amp;L BESS - Cost Assumptions'!$D$12:$D$65,0),MATCH(U$31,'S&amp;L BESS - Cost Assumptions'!$F$7:$J$7,0))</f>
        <v>200</v>
      </c>
      <c r="V35" s="169">
        <f>INDEX('S&amp;L BESS - Cost Assumptions'!$F$12:$J$65,MATCH($Z$35,'S&amp;L BESS - Cost Assumptions'!$D$12:$D$65,0),MATCH(V$31,'S&amp;L BESS - Cost Assumptions'!$F$7:$J$7,0))</f>
        <v>200</v>
      </c>
      <c r="W35" s="283"/>
      <c r="X35" s="283"/>
      <c r="Y35" s="283"/>
      <c r="Z35" s="219" t="str">
        <f>'S&amp;L BESS - Cost Assumptions'!$D$13</f>
        <v>Rated Output Power (POI Rating)</v>
      </c>
      <c r="AA35" s="214"/>
      <c r="AB35" s="214"/>
      <c r="AC35" s="79"/>
    </row>
    <row r="36" spans="1:29" s="152" customFormat="1" ht="15" customHeight="1" x14ac:dyDescent="0.35">
      <c r="A36" s="313">
        <f>MAX($A$8:A35)+1</f>
        <v>13</v>
      </c>
      <c r="D36" s="215" t="str">
        <f>'Working Cap and Tax Rates'!$D$21</f>
        <v>Sales and Use Tax Rate, State</v>
      </c>
      <c r="E36" s="152" t="s">
        <v>10</v>
      </c>
      <c r="F36" s="213" t="str">
        <f>"["&amp;A36&amp;"]"</f>
        <v>[13]</v>
      </c>
      <c r="G36" s="313" t="str">
        <f>'Working Cap and Tax Rates'!$D$3</f>
        <v>Table C1</v>
      </c>
      <c r="I36" s="299"/>
      <c r="J36" s="299"/>
      <c r="K36" s="1077">
        <f>_xlfn.XLOOKUP(K$31,'Working Cap and Tax Rates'!$G$16:$K$16,'Working Cap and Tax Rates'!$G$21:$K$21)</f>
        <v>0</v>
      </c>
      <c r="L36" s="1077">
        <f>_xlfn.XLOOKUP(L$31,'Working Cap and Tax Rates'!$G$16:$K$16,'Working Cap and Tax Rates'!$G$21:$K$21)</f>
        <v>0</v>
      </c>
      <c r="M36" s="1077">
        <f>_xlfn.XLOOKUP(M$31,'Working Cap and Tax Rates'!$G$16:$K$16,'Working Cap and Tax Rates'!$G$21:$K$21)</f>
        <v>0</v>
      </c>
      <c r="N36" s="1077">
        <f>_xlfn.XLOOKUP(N$31,'Working Cap and Tax Rates'!$G$16:$K$16,'Working Cap and Tax Rates'!$G$21:$K$21)</f>
        <v>0</v>
      </c>
      <c r="O36" s="1077">
        <f>_xlfn.XLOOKUP(O$31,'Working Cap and Tax Rates'!$G$16:$K$16,'Working Cap and Tax Rates'!$G$21:$K$21)</f>
        <v>6.25E-2</v>
      </c>
      <c r="P36" s="1077"/>
      <c r="Q36" s="283"/>
      <c r="R36" s="1077">
        <f>_xlfn.XLOOKUP(R$31,'Working Cap and Tax Rates'!$G$16:$K$16,'Working Cap and Tax Rates'!$G$21:$K$21)</f>
        <v>0</v>
      </c>
      <c r="S36" s="1077">
        <f>_xlfn.XLOOKUP(S$31,'Working Cap and Tax Rates'!$G$16:$K$16,'Working Cap and Tax Rates'!$G$21:$K$21)</f>
        <v>0</v>
      </c>
      <c r="T36" s="1077">
        <f>_xlfn.XLOOKUP(T$31,'Working Cap and Tax Rates'!$G$16:$K$16,'Working Cap and Tax Rates'!$G$21:$K$21)</f>
        <v>0</v>
      </c>
      <c r="U36" s="1077">
        <f>_xlfn.XLOOKUP(U$31,'Working Cap and Tax Rates'!$G$16:$K$16,'Working Cap and Tax Rates'!$G$21:$K$21)</f>
        <v>0</v>
      </c>
      <c r="V36" s="1077">
        <f>_xlfn.XLOOKUP(V$31,'Working Cap and Tax Rates'!$G$16:$K$16,'Working Cap and Tax Rates'!$G$21:$K$21)</f>
        <v>6.25E-2</v>
      </c>
      <c r="W36" s="283"/>
      <c r="X36" s="283"/>
      <c r="Y36" s="283"/>
      <c r="Z36" s="219"/>
      <c r="AA36" s="214"/>
      <c r="AB36" s="214"/>
      <c r="AC36" s="79"/>
    </row>
    <row r="37" spans="1:29" s="152" customFormat="1" ht="6" customHeight="1" x14ac:dyDescent="0.35">
      <c r="A37" s="313"/>
      <c r="D37" s="279"/>
      <c r="E37" s="263"/>
      <c r="F37" s="264"/>
      <c r="G37" s="265"/>
      <c r="H37" s="286"/>
      <c r="I37" s="359"/>
      <c r="J37" s="359"/>
      <c r="K37" s="286"/>
      <c r="L37" s="286"/>
      <c r="M37" s="286"/>
      <c r="N37" s="286"/>
      <c r="O37" s="353"/>
      <c r="P37" s="299"/>
      <c r="Q37" s="204"/>
      <c r="R37" s="155"/>
      <c r="S37" s="155"/>
      <c r="T37" s="155"/>
      <c r="U37" s="155"/>
      <c r="V37" s="155"/>
      <c r="Z37" s="219"/>
      <c r="AA37" s="214"/>
      <c r="AB37" s="214"/>
      <c r="AC37" s="79"/>
    </row>
    <row r="38" spans="1:29" s="152" customFormat="1" ht="6" customHeight="1" x14ac:dyDescent="0.35">
      <c r="D38" s="270"/>
      <c r="E38" s="268"/>
      <c r="F38" s="269"/>
      <c r="G38" s="270"/>
      <c r="H38" s="287"/>
      <c r="I38" s="359"/>
      <c r="J38" s="359"/>
      <c r="K38" s="287"/>
      <c r="L38" s="287"/>
      <c r="M38" s="287"/>
      <c r="N38" s="287"/>
      <c r="O38" s="169"/>
      <c r="P38" s="169"/>
      <c r="Q38" s="204"/>
      <c r="Z38" s="214"/>
      <c r="AA38" s="214"/>
      <c r="AB38" s="214"/>
      <c r="AC38" s="79"/>
    </row>
    <row r="39" spans="1:29" s="152" customFormat="1" ht="6" customHeight="1" x14ac:dyDescent="0.35">
      <c r="D39" s="313"/>
      <c r="G39" s="313"/>
      <c r="I39" s="204"/>
      <c r="J39" s="204"/>
      <c r="Q39" s="204"/>
      <c r="X39" s="79"/>
      <c r="Z39" s="214"/>
      <c r="AA39" s="214"/>
      <c r="AB39" s="214"/>
      <c r="AC39" s="79"/>
    </row>
    <row r="40" spans="1:29" s="152" customFormat="1" ht="15" customHeight="1" x14ac:dyDescent="0.35">
      <c r="D40" s="162" t="s">
        <v>100</v>
      </c>
      <c r="G40" s="313"/>
      <c r="I40" s="204"/>
      <c r="J40" s="204"/>
      <c r="Q40" s="204"/>
      <c r="X40" s="79"/>
      <c r="Z40" s="214"/>
      <c r="AA40" s="217" t="s">
        <v>584</v>
      </c>
      <c r="AB40" s="217" t="s">
        <v>336</v>
      </c>
      <c r="AC40" s="79"/>
    </row>
    <row r="41" spans="1:29" s="152" customFormat="1" ht="15" customHeight="1" x14ac:dyDescent="0.35">
      <c r="A41" s="313"/>
      <c r="D41" s="215" t="s">
        <v>198</v>
      </c>
      <c r="G41" s="313"/>
      <c r="I41" s="204"/>
      <c r="J41" s="204"/>
      <c r="Q41" s="204"/>
      <c r="X41" s="79"/>
      <c r="Z41" s="214"/>
      <c r="AA41" s="214"/>
      <c r="AB41" s="217"/>
      <c r="AC41" s="79"/>
    </row>
    <row r="42" spans="1:29" s="313" customFormat="1" ht="15" customHeight="1" x14ac:dyDescent="0.35">
      <c r="A42" s="313">
        <f>MAX($A$8:A40)+1</f>
        <v>14</v>
      </c>
      <c r="D42" s="1015" t="s">
        <v>145</v>
      </c>
      <c r="E42" s="313" t="s">
        <v>42</v>
      </c>
      <c r="F42" s="312" t="str">
        <f t="shared" ref="F42:F47" si="2">"["&amp;A42&amp;"]"</f>
        <v>[14]</v>
      </c>
      <c r="G42" s="313" t="s">
        <v>39</v>
      </c>
      <c r="H42" s="168">
        <f>IF($AA42=$Z$2,$H$20,IF($AA42=$Z$3, $H$17, ""))</f>
        <v>5.5158746872151942E-2</v>
      </c>
      <c r="I42" s="328"/>
      <c r="J42" s="328"/>
      <c r="K42" s="276">
        <f>INDEX('S&amp;L BESS - Capital Costs'!$G$20:$K$47,MATCH($Z42,'S&amp;L BESS - Capital Costs'!$D$20:$D$47,0),MATCH(K$31,'S&amp;L BESS - Capital Costs'!$G$8:$K$8,0))</f>
        <v>171690000</v>
      </c>
      <c r="L42" s="276">
        <f>INDEX('S&amp;L BESS - Capital Costs'!$G$20:$K$47,MATCH($Z42,'S&amp;L BESS - Capital Costs'!$D$20:$D$47,0),MATCH(L$31,'S&amp;L BESS - Capital Costs'!$G$8:$K$8,0))</f>
        <v>171690000</v>
      </c>
      <c r="M42" s="276">
        <f>INDEX('S&amp;L BESS - Capital Costs'!$G$20:$K$47,MATCH($Z42,'S&amp;L BESS - Capital Costs'!$D$20:$D$47,0),MATCH(M$31,'S&amp;L BESS - Capital Costs'!$G$8:$K$8,0))</f>
        <v>171690000</v>
      </c>
      <c r="N42" s="276">
        <f>INDEX('S&amp;L BESS - Capital Costs'!$G$20:$K$47,MATCH($Z42,'S&amp;L BESS - Capital Costs'!$D$20:$D$47,0),MATCH(N$31,'S&amp;L BESS - Capital Costs'!$G$8:$K$8,0))</f>
        <v>171690000</v>
      </c>
      <c r="O42" s="276">
        <f>INDEX('S&amp;L BESS - Capital Costs'!$G$20:$K$47,MATCH($Z42,'S&amp;L BESS - Capital Costs'!$D$20:$D$47,0),MATCH(O$31,'S&amp;L BESS - Capital Costs'!$G$8:$K$8,0))</f>
        <v>171690000</v>
      </c>
      <c r="P42" s="276"/>
      <c r="Q42" s="356"/>
      <c r="R42" s="1152">
        <f>(K42*(1+$H42))*$H$21</f>
        <v>181160205.25047976</v>
      </c>
      <c r="S42" s="1152">
        <f t="shared" ref="S42:V42" si="3">(L42*(1+$H42))*$H$21</f>
        <v>181160205.25047976</v>
      </c>
      <c r="T42" s="1152">
        <f t="shared" si="3"/>
        <v>181160205.25047976</v>
      </c>
      <c r="U42" s="1152">
        <f t="shared" si="3"/>
        <v>181160205.25047976</v>
      </c>
      <c r="V42" s="1152">
        <f t="shared" si="3"/>
        <v>181160205.25047976</v>
      </c>
      <c r="X42" s="144"/>
      <c r="Z42" s="1846" t="str">
        <f>'S&amp;L BESS - Capital Costs'!$D20</f>
        <v>Batteries and Enclosures2</v>
      </c>
      <c r="AA42" s="1846" t="s">
        <v>585</v>
      </c>
      <c r="AB42" s="1846" t="s">
        <v>338</v>
      </c>
      <c r="AC42" s="144"/>
    </row>
    <row r="43" spans="1:29" s="152" customFormat="1" ht="15" customHeight="1" x14ac:dyDescent="0.35">
      <c r="A43" s="313">
        <f>MAX($A$8:A42)+1</f>
        <v>15</v>
      </c>
      <c r="D43" s="1016" t="s">
        <v>146</v>
      </c>
      <c r="E43" s="152" t="s">
        <v>42</v>
      </c>
      <c r="F43" s="213" t="str">
        <f t="shared" si="2"/>
        <v>[15]</v>
      </c>
      <c r="G43" s="313" t="str">
        <f>'S&amp;L BESS - Capital Costs'!$D$3</f>
        <v>Table C11</v>
      </c>
      <c r="H43" s="168">
        <f>IF($AA43=$Z$2,$H$20,IF($AA43=$Z$3, $H$17, ""))</f>
        <v>5.5158746872151942E-2</v>
      </c>
      <c r="I43" s="328"/>
      <c r="J43" s="328"/>
      <c r="K43" s="153">
        <f>INDEX('S&amp;L BESS - Capital Costs'!$G$20:$K$47,MATCH($Z43,'S&amp;L BESS - Capital Costs'!$D$20:$D$47,0),MATCH(K$31,'S&amp;L BESS - Capital Costs'!$G$8:$K$8,0))</f>
        <v>48420900</v>
      </c>
      <c r="L43" s="153">
        <f>INDEX('S&amp;L BESS - Capital Costs'!$G$20:$K$47,MATCH($Z43,'S&amp;L BESS - Capital Costs'!$D$20:$D$47,0),MATCH(L$31,'S&amp;L BESS - Capital Costs'!$G$8:$K$8,0))</f>
        <v>48420900</v>
      </c>
      <c r="M43" s="153">
        <f>INDEX('S&amp;L BESS - Capital Costs'!$G$20:$K$47,MATCH($Z43,'S&amp;L BESS - Capital Costs'!$D$20:$D$47,0),MATCH(M$31,'S&amp;L BESS - Capital Costs'!$G$8:$K$8,0))</f>
        <v>48420900</v>
      </c>
      <c r="N43" s="153">
        <f>INDEX('S&amp;L BESS - Capital Costs'!$G$20:$K$47,MATCH($Z43,'S&amp;L BESS - Capital Costs'!$D$20:$D$47,0),MATCH(N$31,'S&amp;L BESS - Capital Costs'!$G$8:$K$8,0))</f>
        <v>48420900</v>
      </c>
      <c r="O43" s="153">
        <f>INDEX('S&amp;L BESS - Capital Costs'!$G$20:$K$47,MATCH($Z43,'S&amp;L BESS - Capital Costs'!$D$20:$D$47,0),MATCH(O$31,'S&amp;L BESS - Capital Costs'!$G$8:$K$8,0))</f>
        <v>48420900</v>
      </c>
      <c r="P43" s="153"/>
      <c r="Q43" s="356"/>
      <c r="R43" s="1152">
        <f>K43*(1+$H43)</f>
        <v>51091736.166421779</v>
      </c>
      <c r="S43" s="1152">
        <f t="shared" ref="R43:V45" si="4">L43*(1+$H43)</f>
        <v>51091736.166421779</v>
      </c>
      <c r="T43" s="1152">
        <f t="shared" si="4"/>
        <v>51091736.166421779</v>
      </c>
      <c r="U43" s="1152">
        <f t="shared" si="4"/>
        <v>51091736.166421779</v>
      </c>
      <c r="V43" s="1152">
        <f t="shared" si="4"/>
        <v>51091736.166421779</v>
      </c>
      <c r="X43" s="79"/>
      <c r="Z43" s="219" t="str">
        <f>'S&amp;L BESS - Capital Costs'!$D21</f>
        <v>PCS and BOP Equipment</v>
      </c>
      <c r="AA43" s="219" t="s">
        <v>585</v>
      </c>
      <c r="AB43" s="219" t="s">
        <v>338</v>
      </c>
      <c r="AC43" s="79"/>
    </row>
    <row r="44" spans="1:29" s="152" customFormat="1" ht="15" customHeight="1" x14ac:dyDescent="0.35">
      <c r="A44" s="313">
        <f>MAX($A$8:A43)+1</f>
        <v>16</v>
      </c>
      <c r="D44" s="215" t="str">
        <f>Z44</f>
        <v>Project Management</v>
      </c>
      <c r="E44" s="152" t="s">
        <v>42</v>
      </c>
      <c r="F44" s="213" t="str">
        <f t="shared" si="2"/>
        <v>[16]</v>
      </c>
      <c r="G44" s="313" t="str">
        <f>'S&amp;L BESS - Capital Costs'!$D$3</f>
        <v>Table C11</v>
      </c>
      <c r="H44" s="168">
        <f>IF($AA44=$Z$2,$H$20,IF($AA44=$Z$3, $H$17, ""))</f>
        <v>6.788357632263553E-2</v>
      </c>
      <c r="I44" s="328"/>
      <c r="J44" s="328"/>
      <c r="K44" s="153">
        <f>INDEX('S&amp;L BESS - Capital Costs'!$G$20:$K$47,MATCH($Z44,'S&amp;L BESS - Capital Costs'!$D$20:$D$47,0),MATCH(K$31,'S&amp;L BESS - Capital Costs'!$G$8:$K$8,0))</f>
        <v>12053932</v>
      </c>
      <c r="L44" s="153">
        <f>INDEX('S&amp;L BESS - Capital Costs'!$G$20:$K$47,MATCH($Z44,'S&amp;L BESS - Capital Costs'!$D$20:$D$47,0),MATCH(L$31,'S&amp;L BESS - Capital Costs'!$G$8:$K$8,0))</f>
        <v>11520988</v>
      </c>
      <c r="M44" s="153">
        <f>INDEX('S&amp;L BESS - Capital Costs'!$G$20:$K$47,MATCH($Z44,'S&amp;L BESS - Capital Costs'!$D$20:$D$47,0),MATCH(M$31,'S&amp;L BESS - Capital Costs'!$G$8:$K$8,0))</f>
        <v>11526628</v>
      </c>
      <c r="N44" s="153">
        <f>INDEX('S&amp;L BESS - Capital Costs'!$G$20:$K$47,MATCH($Z44,'S&amp;L BESS - Capital Costs'!$D$20:$D$47,0),MATCH(N$31,'S&amp;L BESS - Capital Costs'!$G$8:$K$8,0))</f>
        <v>11734428</v>
      </c>
      <c r="O44" s="153">
        <f>INDEX('S&amp;L BESS - Capital Costs'!$G$20:$K$47,MATCH($Z44,'S&amp;L BESS - Capital Costs'!$D$20:$D$47,0),MATCH(O$31,'S&amp;L BESS - Capital Costs'!$G$8:$K$8,0))</f>
        <v>12524432</v>
      </c>
      <c r="P44" s="153"/>
      <c r="Q44" s="356"/>
      <c r="R44" s="1152">
        <f t="shared" si="4"/>
        <v>12872196.012909859</v>
      </c>
      <c r="S44" s="1152">
        <f t="shared" si="4"/>
        <v>12303073.868210169</v>
      </c>
      <c r="T44" s="1152">
        <f t="shared" si="4"/>
        <v>12309096.731580628</v>
      </c>
      <c r="U44" s="1152">
        <f t="shared" si="4"/>
        <v>12531002.938740471</v>
      </c>
      <c r="V44" s="1152">
        <f t="shared" si="4"/>
        <v>13374635.23556966</v>
      </c>
      <c r="X44" s="79"/>
      <c r="Z44" s="219" t="str">
        <f>'S&amp;L BESS - Capital Costs'!$D23</f>
        <v>Project Management</v>
      </c>
      <c r="AA44" s="219" t="s">
        <v>515</v>
      </c>
      <c r="AB44" s="219" t="s">
        <v>338</v>
      </c>
      <c r="AC44" s="79"/>
    </row>
    <row r="45" spans="1:29" s="152" customFormat="1" ht="15" customHeight="1" x14ac:dyDescent="0.35">
      <c r="A45" s="313">
        <f>MAX($A$8:A44)+1</f>
        <v>17</v>
      </c>
      <c r="D45" s="215" t="str">
        <f>Z45</f>
        <v>Construction &amp; Materials</v>
      </c>
      <c r="E45" s="152" t="s">
        <v>42</v>
      </c>
      <c r="F45" s="213" t="str">
        <f t="shared" si="2"/>
        <v>[17]</v>
      </c>
      <c r="G45" s="313" t="str">
        <f>'S&amp;L BESS - Capital Costs'!$D$3</f>
        <v>Table C11</v>
      </c>
      <c r="H45" s="168">
        <f>IF($AA45=$Z$2,$H$20,IF($AA45=$Z$3, $H$17, ""))</f>
        <v>6.788357632263553E-2</v>
      </c>
      <c r="I45" s="328"/>
      <c r="J45" s="328"/>
      <c r="K45" s="153">
        <f>INDEX('S&amp;L BESS - Capital Costs'!$G$20:$K$47,MATCH($Z45,'S&amp;L BESS - Capital Costs'!$D$20:$D$47,0),MATCH(K$31,'S&amp;L BESS - Capital Costs'!$G$8:$K$8,0))</f>
        <v>70900800</v>
      </c>
      <c r="L45" s="153">
        <f>INDEX('S&amp;L BESS - Capital Costs'!$G$20:$K$47,MATCH($Z45,'S&amp;L BESS - Capital Costs'!$D$20:$D$47,0),MATCH(L$31,'S&amp;L BESS - Capital Costs'!$G$8:$K$8,0))</f>
        <v>57577200</v>
      </c>
      <c r="M45" s="153">
        <f>INDEX('S&amp;L BESS - Capital Costs'!$G$20:$K$47,MATCH($Z45,'S&amp;L BESS - Capital Costs'!$D$20:$D$47,0),MATCH(M$31,'S&amp;L BESS - Capital Costs'!$G$8:$K$8,0))</f>
        <v>57718200</v>
      </c>
      <c r="N45" s="153">
        <f>INDEX('S&amp;L BESS - Capital Costs'!$G$20:$K$47,MATCH($Z45,'S&amp;L BESS - Capital Costs'!$D$20:$D$47,0),MATCH(N$31,'S&amp;L BESS - Capital Costs'!$G$8:$K$8,0))</f>
        <v>62913200</v>
      </c>
      <c r="O45" s="153">
        <f>INDEX('S&amp;L BESS - Capital Costs'!$G$20:$K$47,MATCH($Z45,'S&amp;L BESS - Capital Costs'!$D$20:$D$47,0),MATCH(O$31,'S&amp;L BESS - Capital Costs'!$G$8:$K$8,0))</f>
        <v>82663300</v>
      </c>
      <c r="P45" s="153"/>
      <c r="Q45" s="356"/>
      <c r="R45" s="1152">
        <f t="shared" si="4"/>
        <v>75713799.868135914</v>
      </c>
      <c r="S45" s="1152">
        <f t="shared" si="4"/>
        <v>61485746.250643648</v>
      </c>
      <c r="T45" s="1152">
        <f t="shared" si="4"/>
        <v>61636317.83490514</v>
      </c>
      <c r="U45" s="1152">
        <f t="shared" si="4"/>
        <v>67183973.013901234</v>
      </c>
      <c r="V45" s="1152">
        <f t="shared" si="4"/>
        <v>88274780.434630916</v>
      </c>
      <c r="X45" s="79"/>
      <c r="Z45" s="219" t="str">
        <f>'S&amp;L BESS - Capital Costs'!$D24</f>
        <v>Construction &amp; Materials</v>
      </c>
      <c r="AA45" s="219" t="s">
        <v>515</v>
      </c>
      <c r="AB45" s="219" t="s">
        <v>337</v>
      </c>
      <c r="AC45" s="79"/>
    </row>
    <row r="46" spans="1:29" s="152" customFormat="1" ht="15" customHeight="1" x14ac:dyDescent="0.35">
      <c r="A46" s="313">
        <f>MAX($A$8:A45)+1</f>
        <v>18</v>
      </c>
      <c r="D46" s="215" t="str">
        <f>Z46</f>
        <v>Sales Tax</v>
      </c>
      <c r="E46" s="152" t="s">
        <v>42</v>
      </c>
      <c r="F46" s="213" t="str">
        <f t="shared" si="2"/>
        <v>[18]</v>
      </c>
      <c r="G46" s="313" t="str">
        <f>F36&amp;" x ("&amp;F42&amp;" + "&amp;F43&amp;")"</f>
        <v>[13] x ([14] + [15])</v>
      </c>
      <c r="H46" s="168" t="str">
        <f>IF($AA46=$Z$2,$H$20,IF($AA46=$Z$3, $H$17, ""))</f>
        <v/>
      </c>
      <c r="I46" s="328"/>
      <c r="J46" s="328"/>
      <c r="K46" s="153">
        <f>K36*(SUM(K42:K43))</f>
        <v>0</v>
      </c>
      <c r="L46" s="153">
        <f>L36*(SUM(L42:L43))</f>
        <v>0</v>
      </c>
      <c r="M46" s="153">
        <f>M36*(SUM(M42:M43))</f>
        <v>0</v>
      </c>
      <c r="N46" s="153">
        <f>N36*(SUM(N42:N43))</f>
        <v>0</v>
      </c>
      <c r="O46" s="153">
        <f>O36*(SUM(O42:O43))</f>
        <v>13756931.25</v>
      </c>
      <c r="P46" s="153"/>
      <c r="Q46" s="356"/>
      <c r="R46" s="153">
        <f>R36*(SUM(R42:R43))</f>
        <v>0</v>
      </c>
      <c r="S46" s="153">
        <f>S36*(SUM(S42:S43))</f>
        <v>0</v>
      </c>
      <c r="T46" s="153">
        <f>T36*(SUM(T42:T43))</f>
        <v>0</v>
      </c>
      <c r="U46" s="153">
        <f>U36*(SUM(U42:U43))</f>
        <v>0</v>
      </c>
      <c r="V46" s="153">
        <f>V36*(SUM(V42:V43))</f>
        <v>14515746.338556346</v>
      </c>
      <c r="X46" s="79"/>
      <c r="Z46" s="219" t="str">
        <f>'S&amp;L BESS - Capital Costs'!$D25</f>
        <v>Sales Tax</v>
      </c>
      <c r="AA46" s="219"/>
      <c r="AB46" s="219" t="s">
        <v>338</v>
      </c>
      <c r="AC46" s="79"/>
    </row>
    <row r="47" spans="1:29" s="152" customFormat="1" ht="15" customHeight="1" x14ac:dyDescent="0.35">
      <c r="A47" s="313">
        <f>MAX($A$8:A46)+1</f>
        <v>19</v>
      </c>
      <c r="D47" s="1787" t="s">
        <v>106</v>
      </c>
      <c r="E47" s="1788" t="s">
        <v>42</v>
      </c>
      <c r="F47" s="1789" t="str">
        <f t="shared" si="2"/>
        <v>[19]</v>
      </c>
      <c r="G47" s="1788" t="str">
        <f>"SUM("&amp;$F$42&amp;":"&amp;$F$46&amp;")"</f>
        <v>SUM([14]:[18])</v>
      </c>
      <c r="H47" s="1790" t="str">
        <f>IF($AA47=$Z$2,$H$16,IF($AA47=$Z$3, $H$17, ""))</f>
        <v/>
      </c>
      <c r="I47" s="1791"/>
      <c r="J47" s="1791"/>
      <c r="K47" s="1792">
        <f>SUM(K$42:K$46)</f>
        <v>303065632</v>
      </c>
      <c r="L47" s="1792">
        <f>SUM(L$42:L$46)</f>
        <v>289209088</v>
      </c>
      <c r="M47" s="1792">
        <f>SUM(M$42:M$46)</f>
        <v>289355728</v>
      </c>
      <c r="N47" s="1792">
        <f>SUM(N$42:N$46)</f>
        <v>294758528</v>
      </c>
      <c r="O47" s="1792">
        <f>SUM(O$42:O$46)</f>
        <v>329055563.25</v>
      </c>
      <c r="P47" s="1792"/>
      <c r="Q47" s="1793"/>
      <c r="R47" s="1792">
        <f>SUM(R$42:R$46)</f>
        <v>320837937.29794729</v>
      </c>
      <c r="S47" s="1792">
        <f>SUM(S$42:S$46)</f>
        <v>306040761.53575534</v>
      </c>
      <c r="T47" s="1842">
        <f>SUM(T$42:T$46)</f>
        <v>306197355.98338729</v>
      </c>
      <c r="U47" s="1792">
        <f>SUM(U$42:U$46)</f>
        <v>311966917.36954319</v>
      </c>
      <c r="V47" s="1792">
        <f>SUM(V$42:V$46)</f>
        <v>348417103.42565846</v>
      </c>
      <c r="X47" s="79"/>
      <c r="Z47" s="214"/>
      <c r="AA47" s="214"/>
      <c r="AB47" s="219"/>
      <c r="AC47" s="79"/>
    </row>
    <row r="48" spans="1:29" s="152" customFormat="1" ht="6" customHeight="1" x14ac:dyDescent="0.35">
      <c r="D48" s="159"/>
      <c r="E48" s="155"/>
      <c r="F48" s="155"/>
      <c r="G48" s="159"/>
      <c r="H48" s="155"/>
      <c r="I48" s="204"/>
      <c r="J48" s="204"/>
      <c r="K48" s="159"/>
      <c r="L48" s="159"/>
      <c r="M48" s="159"/>
      <c r="N48" s="159"/>
      <c r="O48" s="159"/>
      <c r="P48" s="246"/>
      <c r="Q48" s="204"/>
      <c r="R48" s="159"/>
      <c r="S48" s="159"/>
      <c r="T48" s="159"/>
      <c r="U48" s="159"/>
      <c r="V48" s="159"/>
      <c r="X48" s="79"/>
      <c r="Z48" s="214"/>
      <c r="AA48" s="214"/>
      <c r="AB48" s="219"/>
      <c r="AC48" s="79"/>
    </row>
    <row r="49" spans="1:29" s="152" customFormat="1" ht="6" customHeight="1" x14ac:dyDescent="0.35">
      <c r="D49" s="313"/>
      <c r="G49" s="313"/>
      <c r="I49" s="204"/>
      <c r="J49" s="204"/>
      <c r="K49" s="313"/>
      <c r="L49" s="313"/>
      <c r="M49" s="313"/>
      <c r="N49" s="313"/>
      <c r="O49" s="313"/>
      <c r="P49" s="313"/>
      <c r="Q49" s="204"/>
      <c r="R49" s="313"/>
      <c r="S49" s="313"/>
      <c r="T49" s="313"/>
      <c r="U49" s="313"/>
      <c r="V49" s="313"/>
      <c r="X49" s="79"/>
      <c r="Z49" s="214"/>
      <c r="AA49" s="214"/>
      <c r="AB49" s="219"/>
      <c r="AC49" s="79"/>
    </row>
    <row r="50" spans="1:29" s="152" customFormat="1" ht="15" customHeight="1" x14ac:dyDescent="0.35">
      <c r="D50" s="162" t="s">
        <v>107</v>
      </c>
      <c r="G50" s="313"/>
      <c r="I50" s="204"/>
      <c r="J50" s="204"/>
      <c r="K50" s="313"/>
      <c r="L50" s="313"/>
      <c r="M50" s="313"/>
      <c r="N50" s="313"/>
      <c r="O50" s="313"/>
      <c r="P50" s="313"/>
      <c r="Q50" s="204"/>
      <c r="R50" s="313"/>
      <c r="S50" s="313"/>
      <c r="T50" s="313"/>
      <c r="U50" s="313"/>
      <c r="V50" s="313"/>
      <c r="X50" s="79"/>
      <c r="Z50" s="214"/>
      <c r="AA50" s="214"/>
      <c r="AB50" s="219"/>
      <c r="AC50" s="79"/>
    </row>
    <row r="51" spans="1:29" s="152" customFormat="1" ht="15" customHeight="1" x14ac:dyDescent="0.35">
      <c r="A51" s="313">
        <f>MAX($A$8:A50)+1</f>
        <v>20</v>
      </c>
      <c r="C51" s="313"/>
      <c r="D51" s="215" t="s">
        <v>147</v>
      </c>
      <c r="E51" s="313" t="s">
        <v>42</v>
      </c>
      <c r="F51" s="312" t="str">
        <f t="shared" ref="F51:F57" si="5">"["&amp;A51&amp;"]"</f>
        <v>[20]</v>
      </c>
      <c r="G51" s="313" t="str">
        <f>$F10&amp;" x "&amp;F$47</f>
        <v>[2] x [19]</v>
      </c>
      <c r="H51" s="168"/>
      <c r="I51" s="328"/>
      <c r="J51" s="328"/>
      <c r="K51" s="153">
        <f t="shared" ref="K51:O52" si="6">$H10*K$47</f>
        <v>15153281.600000001</v>
      </c>
      <c r="L51" s="153">
        <f t="shared" si="6"/>
        <v>14460454.4</v>
      </c>
      <c r="M51" s="153">
        <f t="shared" si="6"/>
        <v>14467786.4</v>
      </c>
      <c r="N51" s="153">
        <f t="shared" si="6"/>
        <v>14737926.4</v>
      </c>
      <c r="O51" s="153">
        <f t="shared" si="6"/>
        <v>16452778.162500001</v>
      </c>
      <c r="P51" s="153"/>
      <c r="Q51" s="356"/>
      <c r="R51" s="153">
        <f t="shared" ref="R51:V52" si="7">$H10*R$47</f>
        <v>16041896.864897365</v>
      </c>
      <c r="S51" s="153">
        <f t="shared" si="7"/>
        <v>15302038.076787768</v>
      </c>
      <c r="T51" s="153">
        <f t="shared" si="7"/>
        <v>15309867.799169365</v>
      </c>
      <c r="U51" s="153">
        <f t="shared" si="7"/>
        <v>15598345.86847716</v>
      </c>
      <c r="V51" s="153">
        <f t="shared" si="7"/>
        <v>17420855.171282925</v>
      </c>
      <c r="W51" s="156"/>
      <c r="X51" s="79"/>
      <c r="Z51" s="219"/>
      <c r="AA51" s="219" t="s">
        <v>515</v>
      </c>
      <c r="AB51" s="219" t="s">
        <v>338</v>
      </c>
      <c r="AC51" s="79"/>
    </row>
    <row r="52" spans="1:29" s="152" customFormat="1" ht="15" customHeight="1" x14ac:dyDescent="0.35">
      <c r="A52" s="313">
        <f>MAX($A$8:A51)+1</f>
        <v>21</v>
      </c>
      <c r="C52" s="313"/>
      <c r="D52" s="215" t="s">
        <v>148</v>
      </c>
      <c r="E52" s="313" t="s">
        <v>42</v>
      </c>
      <c r="F52" s="312" t="str">
        <f t="shared" si="5"/>
        <v>[21]</v>
      </c>
      <c r="G52" s="313" t="str">
        <f>$F11&amp;" x "&amp;F$47</f>
        <v>[3] x [19]</v>
      </c>
      <c r="H52" s="168"/>
      <c r="I52" s="328"/>
      <c r="J52" s="328"/>
      <c r="K52" s="153">
        <f t="shared" si="6"/>
        <v>3030656.32</v>
      </c>
      <c r="L52" s="153">
        <f t="shared" si="6"/>
        <v>2892090.88</v>
      </c>
      <c r="M52" s="153">
        <f t="shared" si="6"/>
        <v>2893557.2800000003</v>
      </c>
      <c r="N52" s="153">
        <f t="shared" si="6"/>
        <v>2947585.2800000003</v>
      </c>
      <c r="O52" s="153">
        <f t="shared" si="6"/>
        <v>3290555.6325000003</v>
      </c>
      <c r="P52" s="153"/>
      <c r="Q52" s="356"/>
      <c r="R52" s="153">
        <f t="shared" si="7"/>
        <v>3208379.3729794729</v>
      </c>
      <c r="S52" s="153">
        <f t="shared" si="7"/>
        <v>3060407.6153575536</v>
      </c>
      <c r="T52" s="153">
        <f t="shared" si="7"/>
        <v>3061973.5598338731</v>
      </c>
      <c r="U52" s="153">
        <f t="shared" si="7"/>
        <v>3119669.173695432</v>
      </c>
      <c r="V52" s="153">
        <f t="shared" si="7"/>
        <v>3484171.0342565849</v>
      </c>
      <c r="W52" s="156"/>
      <c r="X52" s="79"/>
      <c r="Z52" s="219"/>
      <c r="AA52" s="219" t="s">
        <v>515</v>
      </c>
      <c r="AB52" s="219" t="s">
        <v>338</v>
      </c>
      <c r="AC52" s="79"/>
    </row>
    <row r="53" spans="1:29" s="152" customFormat="1" ht="15" customHeight="1" x14ac:dyDescent="0.35">
      <c r="A53" s="313">
        <f>MAX($A$8:A52)+1</f>
        <v>22</v>
      </c>
      <c r="C53" s="313"/>
      <c r="D53" s="215" t="s">
        <v>84</v>
      </c>
      <c r="E53" s="313" t="s">
        <v>42</v>
      </c>
      <c r="F53" s="312" t="str">
        <f t="shared" si="5"/>
        <v>[22]</v>
      </c>
      <c r="G53" s="153" t="str">
        <f>$F12&amp;" x SUM("&amp;F42&amp;":"&amp;F43&amp;")"</f>
        <v>[4] x SUM([14]:[15])</v>
      </c>
      <c r="H53" s="168" t="str">
        <f>IF($AA53=$Z$2,$H$20,IF($AA53=$Z$3, $H$17, ""))</f>
        <v/>
      </c>
      <c r="I53" s="328"/>
      <c r="J53" s="328"/>
      <c r="K53" s="153">
        <f>$H12*SUM(K42:K43)</f>
        <v>11005545</v>
      </c>
      <c r="L53" s="153">
        <f>$H12*SUM(L42:L43)</f>
        <v>11005545</v>
      </c>
      <c r="M53" s="153">
        <f>$H12*SUM(M42:M43)</f>
        <v>11005545</v>
      </c>
      <c r="N53" s="153">
        <f>$H12*SUM(N42:N43)</f>
        <v>11005545</v>
      </c>
      <c r="O53" s="153">
        <f>$H12*SUM(O42:O43)</f>
        <v>11005545</v>
      </c>
      <c r="P53" s="153"/>
      <c r="Q53" s="356"/>
      <c r="R53" s="153">
        <f>$H12*SUM(R42:R43)</f>
        <v>11612597.070845077</v>
      </c>
      <c r="S53" s="153">
        <f>$H12*SUM(S42:S43)</f>
        <v>11612597.070845077</v>
      </c>
      <c r="T53" s="153">
        <f>$H12*SUM(T42:T43)</f>
        <v>11612597.070845077</v>
      </c>
      <c r="U53" s="153">
        <f>$H12*SUM(U42:U43)</f>
        <v>11612597.070845077</v>
      </c>
      <c r="V53" s="153">
        <f>$H12*SUM(V42:V43)</f>
        <v>11612597.070845077</v>
      </c>
      <c r="W53" s="582"/>
      <c r="X53" s="79"/>
      <c r="Z53" s="219"/>
      <c r="AA53" s="214"/>
      <c r="AB53" s="219" t="s">
        <v>338</v>
      </c>
      <c r="AC53" s="79"/>
    </row>
    <row r="54" spans="1:29" s="152" customFormat="1" ht="15" customHeight="1" x14ac:dyDescent="0.35">
      <c r="A54" s="313">
        <f>MAX($A$8:A53)+1</f>
        <v>23</v>
      </c>
      <c r="C54" s="313"/>
      <c r="D54" s="215" t="s">
        <v>90</v>
      </c>
      <c r="E54" s="313" t="s">
        <v>42</v>
      </c>
      <c r="F54" s="312" t="str">
        <f t="shared" si="5"/>
        <v>[23]</v>
      </c>
      <c r="G54" s="313" t="str">
        <f>'S&amp;L BESS - Capital Costs'!$D$3</f>
        <v>Table C11</v>
      </c>
      <c r="H54" s="168">
        <f>IF($AA54=$Z$2,$H$20,IF($AA54=$Z$3, $H$17, ""))</f>
        <v>6.788357632263553E-2</v>
      </c>
      <c r="I54" s="328"/>
      <c r="J54" s="328"/>
      <c r="K54" s="153">
        <f>INDEX('S&amp;L BESS - Capital Costs'!$G$20:$K$47,MATCH($Z54,'S&amp;L BESS - Capital Costs'!$D$20:$D$47,0),MATCH(K$31,'S&amp;L BESS - Capital Costs'!$G$8:$K$8,0))</f>
        <v>1277002.2515278226</v>
      </c>
      <c r="L54" s="153">
        <f>INDEX('S&amp;L BESS - Capital Costs'!$G$20:$K$47,MATCH($Z54,'S&amp;L BESS - Capital Costs'!$D$20:$D$47,0),MATCH(L$31,'S&amp;L BESS - Capital Costs'!$G$8:$K$8,0))</f>
        <v>1202179.9307958477</v>
      </c>
      <c r="M54" s="153">
        <f>INDEX('S&amp;L BESS - Capital Costs'!$G$20:$K$47,MATCH($Z54,'S&amp;L BESS - Capital Costs'!$D$20:$D$47,0),MATCH(M$31,'S&amp;L BESS - Capital Costs'!$G$8:$K$8,0))</f>
        <v>517186.88708321657</v>
      </c>
      <c r="N54" s="153">
        <f>INDEX('S&amp;L BESS - Capital Costs'!$G$20:$K$47,MATCH($Z54,'S&amp;L BESS - Capital Costs'!$D$20:$D$47,0),MATCH(N$31,'S&amp;L BESS - Capital Costs'!$G$8:$K$8,0))</f>
        <v>1101919.6210907572</v>
      </c>
      <c r="O54" s="153">
        <f>INDEX('S&amp;L BESS - Capital Costs'!$G$20:$K$47,MATCH($Z54,'S&amp;L BESS - Capital Costs'!$D$20:$D$47,0),MATCH(O$31,'S&amp;L BESS - Capital Costs'!$G$8:$K$8,0))</f>
        <v>1415090.5249895002</v>
      </c>
      <c r="P54" s="153"/>
      <c r="Q54" s="356"/>
      <c r="R54" s="1152">
        <f t="shared" ref="R54:V55" si="8">K54*(1+$H54)</f>
        <v>1363689.7313335889</v>
      </c>
      <c r="S54" s="1152">
        <f t="shared" si="8"/>
        <v>1283788.2038815683</v>
      </c>
      <c r="T54" s="1152">
        <f t="shared" si="8"/>
        <v>552295.38260559633</v>
      </c>
      <c r="U54" s="1152">
        <f t="shared" si="8"/>
        <v>1176721.8657904812</v>
      </c>
      <c r="V54" s="1152">
        <f t="shared" si="8"/>
        <v>1511151.9306460633</v>
      </c>
      <c r="W54" s="248"/>
      <c r="X54" s="79"/>
      <c r="Z54" s="219" t="s">
        <v>90</v>
      </c>
      <c r="AA54" s="219" t="s">
        <v>515</v>
      </c>
      <c r="AB54" s="219" t="s">
        <v>337</v>
      </c>
      <c r="AC54" s="79"/>
    </row>
    <row r="55" spans="1:29" s="152" customFormat="1" ht="15" customHeight="1" x14ac:dyDescent="0.35">
      <c r="A55" s="313">
        <f>MAX($A$8:A54)+1</f>
        <v>24</v>
      </c>
      <c r="C55" s="313"/>
      <c r="D55" s="215" t="s">
        <v>109</v>
      </c>
      <c r="E55" s="313" t="s">
        <v>42</v>
      </c>
      <c r="F55" s="312" t="str">
        <f t="shared" si="5"/>
        <v>[24]</v>
      </c>
      <c r="G55" s="313" t="str">
        <f>'S&amp;L BESS - Capital Costs'!$D$3</f>
        <v>Table C11</v>
      </c>
      <c r="H55" s="168">
        <f>IF($AA55=$Z$2,$H$20,IF($AA55=$Z$3, $H$17, ""))</f>
        <v>6.788357632263553E-2</v>
      </c>
      <c r="I55" s="328"/>
      <c r="J55" s="328"/>
      <c r="K55" s="153">
        <f>INDEX('S&amp;L BESS - Capital Costs'!$G$20:$K$47,MATCH($Z55,'S&amp;L BESS - Capital Costs'!$D$20:$D$47,0),MATCH(K$31,'S&amp;L BESS - Capital Costs'!$G$8:$K$8,0))</f>
        <v>10932563.442451565</v>
      </c>
      <c r="L55" s="153">
        <f>INDEX('S&amp;L BESS - Capital Costs'!$G$20:$K$47,MATCH($Z55,'S&amp;L BESS - Capital Costs'!$D$20:$D$47,0),MATCH(L$31,'S&amp;L BESS - Capital Costs'!$G$8:$K$8,0))</f>
        <v>10932563.442451565</v>
      </c>
      <c r="M55" s="153">
        <f>INDEX('S&amp;L BESS - Capital Costs'!$G$20:$K$47,MATCH($Z55,'S&amp;L BESS - Capital Costs'!$D$20:$D$47,0),MATCH(M$31,'S&amp;L BESS - Capital Costs'!$G$8:$K$8,0))</f>
        <v>10932563.442451565</v>
      </c>
      <c r="N55" s="153">
        <f>INDEX('S&amp;L BESS - Capital Costs'!$G$20:$K$47,MATCH($Z55,'S&amp;L BESS - Capital Costs'!$D$20:$D$47,0),MATCH(N$31,'S&amp;L BESS - Capital Costs'!$G$8:$K$8,0))</f>
        <v>10932563.442451565</v>
      </c>
      <c r="O55" s="153">
        <f>INDEX('S&amp;L BESS - Capital Costs'!$G$20:$K$47,MATCH($Z55,'S&amp;L BESS - Capital Costs'!$D$20:$D$47,0),MATCH(O$31,'S&amp;L BESS - Capital Costs'!$G$8:$K$8,0))</f>
        <v>10932563.442451565</v>
      </c>
      <c r="P55" s="153"/>
      <c r="Q55" s="356"/>
      <c r="R55" s="1152">
        <f t="shared" si="8"/>
        <v>11674704.947299281</v>
      </c>
      <c r="S55" s="1152">
        <f t="shared" si="8"/>
        <v>11674704.947299281</v>
      </c>
      <c r="T55" s="1152">
        <f t="shared" si="8"/>
        <v>11674704.947299281</v>
      </c>
      <c r="U55" s="1152">
        <f t="shared" si="8"/>
        <v>11674704.947299281</v>
      </c>
      <c r="V55" s="1152">
        <f t="shared" si="8"/>
        <v>11674704.947299281</v>
      </c>
      <c r="W55" s="248"/>
      <c r="X55" s="79"/>
      <c r="Z55" s="219" t="str">
        <f>'S&amp;L BESS - Capital Costs'!$D$38</f>
        <v>Electrical Interconnection</v>
      </c>
      <c r="AA55" s="219" t="s">
        <v>515</v>
      </c>
      <c r="AB55" s="219" t="s">
        <v>338</v>
      </c>
      <c r="AC55" s="79"/>
    </row>
    <row r="56" spans="1:29" s="152" customFormat="1" ht="15" customHeight="1" x14ac:dyDescent="0.35">
      <c r="A56" s="313">
        <f>MAX($A$8:A55)+1</f>
        <v>25</v>
      </c>
      <c r="C56" s="313"/>
      <c r="D56" s="216" t="s">
        <v>85</v>
      </c>
      <c r="E56" s="313" t="s">
        <v>42</v>
      </c>
      <c r="F56" s="312" t="str">
        <f t="shared" si="5"/>
        <v>[25]</v>
      </c>
      <c r="G56" s="276" t="str">
        <f>F13&amp;" x "&amp;"SUM("&amp;F51&amp;":"&amp;F55&amp;")"</f>
        <v>[5] x SUM([20]:[24])</v>
      </c>
      <c r="H56" s="168" t="str">
        <f>IF($AA56=$Z$2,$H$20,IF($AA56=$Z$3, $H$17, ""))</f>
        <v/>
      </c>
      <c r="I56" s="246"/>
      <c r="J56" s="246"/>
      <c r="K56" s="276">
        <f>$H$13*SUM(K51:K55)</f>
        <v>1655961.9445591758</v>
      </c>
      <c r="L56" s="276">
        <f>$H$13*SUM(L51:L55)</f>
        <v>1619713.3461298966</v>
      </c>
      <c r="M56" s="276">
        <f>$H$13*SUM(M51:M55)</f>
        <v>1592665.5603813913</v>
      </c>
      <c r="N56" s="276">
        <f>$H$13*SUM(N51:N55)</f>
        <v>1629021.5897416929</v>
      </c>
      <c r="O56" s="276">
        <f>$H$13*SUM(O51:O55)</f>
        <v>1723861.3104976427</v>
      </c>
      <c r="P56" s="276"/>
      <c r="Q56" s="356"/>
      <c r="R56" s="276">
        <f>$H$13*SUM(R51:R55)</f>
        <v>1756050.7194941915</v>
      </c>
      <c r="S56" s="276">
        <f>$H$13*SUM(S51:S55)</f>
        <v>1717341.4365668499</v>
      </c>
      <c r="T56" s="276">
        <f>$H$13*SUM(T51:T55)</f>
        <v>1688457.5503901276</v>
      </c>
      <c r="U56" s="276">
        <f>$H$13*SUM(U51:U55)</f>
        <v>1727281.5570442975</v>
      </c>
      <c r="V56" s="276">
        <f>$H$13*SUM(V51:V55)</f>
        <v>1828139.2061731971</v>
      </c>
      <c r="W56" s="248"/>
      <c r="X56" s="79"/>
      <c r="Z56" s="219"/>
      <c r="AA56" s="214"/>
      <c r="AB56" s="219" t="s">
        <v>338</v>
      </c>
      <c r="AC56" s="79"/>
    </row>
    <row r="57" spans="1:29" s="152" customFormat="1" ht="15" customHeight="1" x14ac:dyDescent="0.35">
      <c r="A57" s="313">
        <f>MAX($A$8:A56)+1</f>
        <v>26</v>
      </c>
      <c r="C57" s="313"/>
      <c r="D57" s="1788" t="s">
        <v>112</v>
      </c>
      <c r="E57" s="1788" t="s">
        <v>42</v>
      </c>
      <c r="F57" s="1789" t="str">
        <f t="shared" si="5"/>
        <v>[26]</v>
      </c>
      <c r="G57" s="1792" t="str">
        <f>"SUM("&amp;F51&amp;":"&amp;F56&amp;")"</f>
        <v>SUM([20]:[25])</v>
      </c>
      <c r="H57" s="1790" t="str">
        <f>IF($AA57=$Z$2,$H$16,IF($AA57=$Z$3, $H$17, ""))</f>
        <v/>
      </c>
      <c r="I57" s="1791"/>
      <c r="J57" s="1791"/>
      <c r="K57" s="1792">
        <f>SUM(K51:K56)</f>
        <v>43055010.558538571</v>
      </c>
      <c r="L57" s="1792">
        <f>SUM(L51:L56)</f>
        <v>42112546.99937731</v>
      </c>
      <c r="M57" s="1792">
        <f>SUM(M51:M56)</f>
        <v>41409304.569916174</v>
      </c>
      <c r="N57" s="1792">
        <f>SUM(N51:N56)</f>
        <v>42354561.333284013</v>
      </c>
      <c r="O57" s="1792">
        <f>SUM(O51:O56)</f>
        <v>44820394.07293871</v>
      </c>
      <c r="P57" s="1792"/>
      <c r="Q57" s="1792">
        <f t="shared" ref="Q57:V57" si="9">SUM(Q51:Q56)</f>
        <v>0</v>
      </c>
      <c r="R57" s="1792">
        <f t="shared" si="9"/>
        <v>45657318.706848979</v>
      </c>
      <c r="S57" s="1792">
        <f t="shared" si="9"/>
        <v>44650877.350738101</v>
      </c>
      <c r="T57" s="1792">
        <f t="shared" si="9"/>
        <v>43899896.310143314</v>
      </c>
      <c r="U57" s="1792">
        <f t="shared" si="9"/>
        <v>44909320.483151734</v>
      </c>
      <c r="V57" s="1792">
        <f t="shared" si="9"/>
        <v>47531619.360503122</v>
      </c>
      <c r="X57" s="79"/>
      <c r="Z57" s="214"/>
      <c r="AA57" s="214"/>
      <c r="AB57" s="219"/>
      <c r="AC57" s="79"/>
    </row>
    <row r="58" spans="1:29" s="152" customFormat="1" ht="6" customHeight="1" x14ac:dyDescent="0.35">
      <c r="C58" s="313"/>
      <c r="D58" s="159"/>
      <c r="E58" s="159"/>
      <c r="F58" s="159"/>
      <c r="G58" s="159"/>
      <c r="H58" s="159"/>
      <c r="I58" s="246"/>
      <c r="J58" s="246"/>
      <c r="K58" s="159"/>
      <c r="L58" s="159"/>
      <c r="M58" s="159"/>
      <c r="N58" s="159"/>
      <c r="O58" s="159"/>
      <c r="P58" s="246"/>
      <c r="Q58" s="246"/>
      <c r="R58" s="159"/>
      <c r="S58" s="155"/>
      <c r="T58" s="155"/>
      <c r="U58" s="155"/>
      <c r="V58" s="155"/>
      <c r="X58" s="79"/>
      <c r="Z58" s="214"/>
      <c r="AA58" s="214"/>
      <c r="AB58" s="214"/>
      <c r="AC58" s="79"/>
    </row>
    <row r="59" spans="1:29" s="152" customFormat="1" ht="6" customHeight="1" x14ac:dyDescent="0.35">
      <c r="C59" s="313"/>
      <c r="D59" s="313"/>
      <c r="E59" s="313"/>
      <c r="F59" s="313"/>
      <c r="G59" s="313"/>
      <c r="H59" s="313"/>
      <c r="I59" s="246"/>
      <c r="J59" s="246"/>
      <c r="K59" s="313"/>
      <c r="L59" s="313"/>
      <c r="M59" s="313"/>
      <c r="N59" s="313"/>
      <c r="O59" s="313"/>
      <c r="P59" s="313"/>
      <c r="Q59" s="246"/>
      <c r="R59" s="313"/>
      <c r="X59" s="79"/>
      <c r="Z59" s="214"/>
      <c r="AA59" s="214"/>
      <c r="AB59" s="214"/>
      <c r="AC59" s="79"/>
    </row>
    <row r="60" spans="1:29" s="152" customFormat="1" ht="15" customHeight="1" x14ac:dyDescent="0.35">
      <c r="C60" s="313"/>
      <c r="D60" s="162" t="s">
        <v>150</v>
      </c>
      <c r="E60" s="313"/>
      <c r="F60" s="313"/>
      <c r="G60" s="313"/>
      <c r="H60" s="313"/>
      <c r="I60" s="313"/>
      <c r="J60" s="313"/>
      <c r="K60" s="153"/>
      <c r="L60" s="153"/>
      <c r="M60" s="313"/>
      <c r="N60" s="313"/>
      <c r="O60" s="313"/>
      <c r="P60" s="313"/>
      <c r="Q60" s="246"/>
      <c r="R60" s="313"/>
      <c r="X60" s="79"/>
      <c r="Z60" s="214"/>
      <c r="AA60" s="214"/>
      <c r="AB60" s="214"/>
      <c r="AC60" s="79"/>
    </row>
    <row r="61" spans="1:29" s="152" customFormat="1" ht="15" customHeight="1" x14ac:dyDescent="0.35">
      <c r="A61" s="313">
        <f>MAX($A$8:A60)+1</f>
        <v>27</v>
      </c>
      <c r="C61" s="313"/>
      <c r="D61" s="215" t="s">
        <v>151</v>
      </c>
      <c r="E61" s="313" t="s">
        <v>42</v>
      </c>
      <c r="F61" s="312" t="str">
        <f>"["&amp;A61&amp;"]"</f>
        <v>[27]</v>
      </c>
      <c r="G61" s="313" t="str">
        <f>F47&amp;" + "&amp;F57</f>
        <v>[19] + [26]</v>
      </c>
      <c r="H61" s="168" t="str">
        <f>IF($AA61=$Z$2,$H$16,IF($AA61=$Z$3, $H$17, ""))</f>
        <v/>
      </c>
      <c r="I61" s="313"/>
      <c r="J61" s="313"/>
      <c r="K61" s="153">
        <f>K$47+K$57</f>
        <v>346120642.55853856</v>
      </c>
      <c r="L61" s="153">
        <f>L$47+L$57</f>
        <v>331321634.99937731</v>
      </c>
      <c r="M61" s="153">
        <f>M$47+M$57</f>
        <v>330765032.56991619</v>
      </c>
      <c r="N61" s="153">
        <f>N$47+N$57</f>
        <v>337113089.33328402</v>
      </c>
      <c r="O61" s="153">
        <f>O$47+O$57</f>
        <v>373875957.32293868</v>
      </c>
      <c r="P61" s="153"/>
      <c r="Q61" s="153"/>
      <c r="R61" s="153">
        <f>R$47+R$57</f>
        <v>366495256.00479627</v>
      </c>
      <c r="S61" s="153">
        <f>S$47+S$57</f>
        <v>350691638.88649344</v>
      </c>
      <c r="T61" s="153">
        <f>T$47+T$57</f>
        <v>350097252.29353058</v>
      </c>
      <c r="U61" s="153">
        <f>U$47+U$57</f>
        <v>356876237.85269493</v>
      </c>
      <c r="V61" s="153">
        <f>V$47+V$57</f>
        <v>395948722.7861616</v>
      </c>
      <c r="W61" s="249"/>
      <c r="X61" s="79"/>
      <c r="Z61" s="214"/>
      <c r="AA61" s="214"/>
      <c r="AB61" s="214"/>
      <c r="AC61" s="79"/>
    </row>
    <row r="62" spans="1:29" s="152" customFormat="1" ht="15" customHeight="1" x14ac:dyDescent="0.35">
      <c r="A62" s="313">
        <f>MAX($A$8:A61)+1</f>
        <v>28</v>
      </c>
      <c r="D62" s="223" t="s">
        <v>151</v>
      </c>
      <c r="E62" s="161" t="s">
        <v>5</v>
      </c>
      <c r="F62" s="224" t="str">
        <f>"["&amp;A62&amp;"]"</f>
        <v>[28]</v>
      </c>
      <c r="G62" s="164" t="str">
        <f>F$61&amp;" / ("&amp;F$35&amp;" x 1000)"</f>
        <v>[27] / ([12] x 1000)</v>
      </c>
      <c r="H62" s="168" t="str">
        <f>IF($AA62=$Z$2,$H$16,IF($AA62=$Z$3, $H$17, ""))</f>
        <v/>
      </c>
      <c r="K62" s="164">
        <f>K$61/(K$35*1000)</f>
        <v>1730.6032127926928</v>
      </c>
      <c r="L62" s="164">
        <f>L$61/(L$35*1000)</f>
        <v>1656.6081749968866</v>
      </c>
      <c r="M62" s="164">
        <f>M$61/(M$35*1000)</f>
        <v>1653.8251628495809</v>
      </c>
      <c r="N62" s="164">
        <f>N$61/(N$35*1000)</f>
        <v>1685.56544666642</v>
      </c>
      <c r="O62" s="164">
        <f>O$61/(O$35*1000)</f>
        <v>1869.3797866146933</v>
      </c>
      <c r="P62" s="164"/>
      <c r="Q62" s="164"/>
      <c r="R62" s="164">
        <f>R$61/(R$35*1000)</f>
        <v>1832.4762800239814</v>
      </c>
      <c r="S62" s="164">
        <f>S$61/(S$35*1000)</f>
        <v>1753.4581944324673</v>
      </c>
      <c r="T62" s="164">
        <f>T$61/(T$35*1000)</f>
        <v>1750.4862614676529</v>
      </c>
      <c r="U62" s="164">
        <f>U$61/(U$35*1000)</f>
        <v>1784.3811892634747</v>
      </c>
      <c r="V62" s="164">
        <f>V$61/(V$35*1000)</f>
        <v>1979.7436139308079</v>
      </c>
      <c r="X62" s="79"/>
      <c r="Z62" s="214"/>
      <c r="AA62" s="214"/>
      <c r="AB62" s="214"/>
      <c r="AC62" s="79"/>
    </row>
    <row r="63" spans="1:29" ht="6" customHeight="1" thickBot="1" x14ac:dyDescent="0.4">
      <c r="D63" s="44"/>
      <c r="E63" s="20"/>
      <c r="F63" s="20"/>
      <c r="G63" s="20"/>
      <c r="H63" s="20"/>
      <c r="I63" s="20"/>
      <c r="J63" s="20"/>
      <c r="K63" s="20"/>
      <c r="L63" s="20"/>
      <c r="M63" s="20"/>
      <c r="N63" s="20"/>
      <c r="O63" s="20"/>
      <c r="P63" s="20"/>
      <c r="Q63" s="20"/>
      <c r="R63" s="20"/>
      <c r="S63" s="20"/>
      <c r="T63" s="20"/>
      <c r="U63" s="20"/>
      <c r="V63" s="20"/>
      <c r="X63"/>
    </row>
    <row r="64" spans="1:29" ht="6" customHeight="1" thickTop="1" x14ac:dyDescent="0.35">
      <c r="X64"/>
    </row>
    <row r="65" spans="4:28" ht="15" customHeight="1" x14ac:dyDescent="0.35">
      <c r="D65" s="26" t="s">
        <v>26</v>
      </c>
      <c r="X65"/>
    </row>
    <row r="66" spans="4:28" s="1115" customFormat="1" ht="15" customHeight="1" x14ac:dyDescent="0.35">
      <c r="D66" s="404" t="s">
        <v>679</v>
      </c>
      <c r="Z66" s="36"/>
      <c r="AA66" s="36"/>
      <c r="AB66" s="36"/>
    </row>
    <row r="67" spans="4:28" ht="15" customHeight="1" x14ac:dyDescent="0.35">
      <c r="D67" s="93" t="str">
        <f>$H$26&amp;": "&amp;F17&amp;" or "&amp;F20&amp;"."</f>
        <v>[A]: [7] or [10].</v>
      </c>
      <c r="E67" s="16"/>
      <c r="F67" s="16"/>
      <c r="G67" s="16"/>
      <c r="H67" s="16"/>
      <c r="I67" s="16"/>
      <c r="J67" s="16"/>
      <c r="K67" s="1348"/>
      <c r="L67" s="11"/>
      <c r="M67" s="11"/>
      <c r="N67" s="11"/>
      <c r="O67" s="11"/>
      <c r="P67" s="2063"/>
      <c r="Q67" s="16"/>
      <c r="R67" s="16"/>
      <c r="S67" s="16"/>
      <c r="T67" s="16"/>
      <c r="U67" s="16"/>
      <c r="V67" s="16"/>
      <c r="X67"/>
    </row>
    <row r="68" spans="4:28" ht="15" customHeight="1" x14ac:dyDescent="0.35">
      <c r="D68" s="93" t="str">
        <f>$R$26&amp;" to "&amp;V26&amp;": All cost components are escalated according to the Escalation Rate in "&amp;$H$26&amp;"."</f>
        <v>[G] to [K]: All cost components are escalated according to the Escalation Rate in [A].</v>
      </c>
      <c r="E68" s="16"/>
      <c r="F68" s="16"/>
      <c r="G68" s="16"/>
      <c r="H68" s="16"/>
      <c r="I68" s="16"/>
      <c r="J68" s="16"/>
      <c r="K68" s="11"/>
      <c r="L68" s="11"/>
      <c r="M68" s="11"/>
      <c r="N68" s="11"/>
      <c r="O68" s="11"/>
      <c r="P68" s="2063"/>
      <c r="Q68" s="16"/>
      <c r="R68" s="16"/>
      <c r="S68" s="16"/>
      <c r="T68" s="16"/>
      <c r="U68" s="16"/>
      <c r="V68" s="16"/>
      <c r="X68"/>
    </row>
    <row r="69" spans="4:28" ht="15" customHeight="1" x14ac:dyDescent="0.35">
      <c r="D69" s="2144" t="str">
        <f>F42&amp;", "&amp;F43&amp;": These line items are escalated to the equipment contract lock-in date using the Escalation Rate in "&amp;F20&amp;"."</f>
        <v>[14], [15]: These line items are escalated to the equipment contract lock-in date using the Escalation Rate in [10].</v>
      </c>
      <c r="E69" s="1048"/>
      <c r="F69" s="1048"/>
      <c r="G69" s="1048"/>
      <c r="H69" s="1048"/>
      <c r="I69" s="1048"/>
      <c r="J69" s="1048"/>
      <c r="K69" s="11"/>
      <c r="L69" s="11"/>
      <c r="M69" s="11"/>
      <c r="N69" s="11"/>
      <c r="O69" s="11"/>
      <c r="P69" s="2063"/>
      <c r="Q69" s="1048"/>
      <c r="R69" s="1048"/>
      <c r="S69" s="1048"/>
      <c r="T69" s="1048"/>
      <c r="U69" s="1048"/>
      <c r="V69" s="1048"/>
      <c r="X69"/>
    </row>
    <row r="70" spans="4:28" ht="15" customHeight="1" x14ac:dyDescent="0.35">
      <c r="D70" s="2144" t="str">
        <f>F42&amp;": Escalated batteries and enclosures costs are also mulitplied by the tariff adjustment factor in "&amp;F21&amp;"."</f>
        <v>[14]: Escalated batteries and enclosures costs are also mulitplied by the tariff adjustment factor in [11].</v>
      </c>
      <c r="E70" s="2064"/>
      <c r="F70" s="2064"/>
      <c r="G70" s="2064"/>
      <c r="H70" s="2064"/>
      <c r="I70" s="2064"/>
      <c r="J70" s="2064"/>
      <c r="K70" s="2128"/>
      <c r="L70" s="2128"/>
      <c r="M70" s="2128"/>
      <c r="N70" s="2128"/>
      <c r="O70" s="2128"/>
      <c r="P70" s="2128"/>
      <c r="Q70" s="2064"/>
      <c r="R70" s="2064"/>
      <c r="S70" s="2064"/>
      <c r="T70" s="2064"/>
      <c r="U70" s="2064"/>
      <c r="V70" s="2064"/>
      <c r="X70"/>
    </row>
    <row r="71" spans="4:28" ht="15" customHeight="1" x14ac:dyDescent="0.35">
      <c r="D71" s="2144" t="str">
        <f>F44&amp;", "&amp;F45&amp;", "&amp;F54&amp;", "&amp;F55&amp;": These line items are escalated to the mid-point of construction using the Escalation Rate in "&amp;F17&amp;"."</f>
        <v>[16], [17], [23], [24]: These line items are escalated to the mid-point of construction using the Escalation Rate in [7].</v>
      </c>
      <c r="E71" s="1048"/>
      <c r="F71" s="1048"/>
      <c r="G71" s="1048"/>
      <c r="H71" s="1048"/>
      <c r="I71" s="1048"/>
      <c r="J71" s="1048"/>
      <c r="K71" s="11"/>
      <c r="L71" s="11"/>
      <c r="M71" s="11"/>
      <c r="N71" s="11"/>
      <c r="O71" s="11"/>
      <c r="P71" s="2063"/>
      <c r="Q71" s="1048"/>
      <c r="R71" s="1048"/>
      <c r="S71" s="1048"/>
      <c r="T71" s="1048"/>
      <c r="U71" s="1048"/>
      <c r="V71" s="1048"/>
      <c r="X71"/>
    </row>
    <row r="72" spans="4:28" ht="15" customHeight="1" x14ac:dyDescent="0.35">
      <c r="D72" s="93"/>
      <c r="E72" s="1048"/>
      <c r="F72" s="1048"/>
      <c r="G72" s="1048"/>
      <c r="H72" s="1048"/>
      <c r="I72" s="1048"/>
      <c r="J72" s="1048"/>
      <c r="K72" s="11"/>
      <c r="L72" s="11"/>
      <c r="M72" s="11"/>
      <c r="N72" s="11"/>
      <c r="O72" s="11"/>
      <c r="P72" s="2063"/>
      <c r="Q72" s="1048"/>
      <c r="R72" s="1048"/>
      <c r="S72" s="1048"/>
      <c r="T72" s="1048"/>
      <c r="U72" s="1048"/>
      <c r="V72" s="1048"/>
      <c r="X72"/>
    </row>
    <row r="73" spans="4:28" ht="15" customHeight="1" x14ac:dyDescent="0.35">
      <c r="D73" s="93"/>
      <c r="E73" s="1048"/>
      <c r="F73" s="1048"/>
      <c r="G73" s="1048"/>
      <c r="H73" s="1048"/>
      <c r="I73" s="1048"/>
      <c r="J73" s="1048"/>
      <c r="K73" s="1048"/>
      <c r="L73" s="1048"/>
      <c r="M73" s="1048"/>
      <c r="N73" s="1048"/>
      <c r="O73" s="1048"/>
      <c r="P73" s="2064"/>
      <c r="Q73" s="1048"/>
      <c r="R73" s="1048"/>
      <c r="S73" s="1048"/>
      <c r="T73" s="1048"/>
      <c r="U73" s="1048"/>
      <c r="V73" s="1048"/>
      <c r="X73"/>
    </row>
    <row r="74" spans="4:28" ht="15" customHeight="1" x14ac:dyDescent="0.35">
      <c r="D74" s="93"/>
      <c r="E74" s="1048"/>
      <c r="F74" s="1048"/>
      <c r="G74" s="1048"/>
      <c r="H74" s="1048"/>
      <c r="I74" s="1048"/>
      <c r="J74" s="1048"/>
      <c r="K74" s="1048"/>
      <c r="L74" s="1048"/>
      <c r="M74" s="1048"/>
      <c r="N74" s="1048"/>
      <c r="O74" s="1048"/>
      <c r="P74" s="2064"/>
      <c r="Q74" s="1048"/>
      <c r="R74" s="1048"/>
      <c r="S74" s="1048"/>
      <c r="T74" s="1048"/>
      <c r="U74" s="1048"/>
      <c r="V74" s="1048"/>
      <c r="X74"/>
    </row>
    <row r="75" spans="4:28" ht="15" customHeight="1" x14ac:dyDescent="0.35">
      <c r="D75" s="93"/>
      <c r="E75" s="1048"/>
      <c r="F75" s="1048"/>
      <c r="G75" s="1048"/>
      <c r="H75" s="1048"/>
      <c r="I75" s="1048"/>
      <c r="J75" s="1048"/>
      <c r="K75" s="1048"/>
      <c r="L75" s="1048"/>
      <c r="M75" s="1048"/>
      <c r="N75" s="1048"/>
      <c r="O75" s="1048"/>
      <c r="P75" s="2064"/>
      <c r="Q75" s="1048"/>
      <c r="R75" s="1048"/>
      <c r="S75" s="1048"/>
      <c r="T75" s="1048"/>
      <c r="U75" s="1048"/>
      <c r="V75" s="1048"/>
      <c r="X75"/>
    </row>
    <row r="76" spans="4:28" ht="15" customHeight="1" x14ac:dyDescent="0.35">
      <c r="D76" s="5"/>
    </row>
  </sheetData>
  <mergeCells count="1">
    <mergeCell ref="D31:D32"/>
  </mergeCells>
  <phoneticPr fontId="26" type="noConversion"/>
  <conditionalFormatting sqref="X66:Y66">
    <cfRule type="cellIs" dxfId="23" priority="1" operator="equal">
      <formula>TRUE</formula>
    </cfRule>
    <cfRule type="cellIs" dxfId="22" priority="2" operator="equal">
      <formula>TRUE</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410E-FEBD-4047-99F7-BCE6C909F440}">
  <dimension ref="A1:NC43"/>
  <sheetViews>
    <sheetView showGridLines="0" zoomScale="70" zoomScaleNormal="70" workbookViewId="0"/>
  </sheetViews>
  <sheetFormatPr defaultRowHeight="15" customHeight="1" x14ac:dyDescent="0.35"/>
  <cols>
    <col min="1" max="3" width="13.54296875" customWidth="1"/>
    <col min="4" max="4" width="54.453125" customWidth="1"/>
    <col min="5" max="5" width="7.54296875" bestFit="1" customWidth="1"/>
    <col min="6" max="6" width="4.1796875" customWidth="1"/>
    <col min="7" max="7" width="12.81640625" bestFit="1" customWidth="1"/>
    <col min="8" max="367" width="10.54296875" customWidth="1"/>
  </cols>
  <sheetData>
    <row r="1" spans="1:367" ht="15" customHeight="1" x14ac:dyDescent="0.35">
      <c r="A1" s="81" t="s">
        <v>275</v>
      </c>
      <c r="G1" s="326"/>
      <c r="H1" s="6"/>
    </row>
    <row r="2" spans="1:367" ht="15" customHeight="1" x14ac:dyDescent="0.35">
      <c r="G2" s="326"/>
      <c r="H2" s="1118"/>
      <c r="I2" s="1118"/>
      <c r="J2" s="1118"/>
    </row>
    <row r="3" spans="1:367" ht="15" customHeight="1" x14ac:dyDescent="0.35">
      <c r="D3" s="88" t="str">
        <f>LEFT($D4, FIND(":",$D4)-1)</f>
        <v>Table B9</v>
      </c>
      <c r="E3" s="88"/>
      <c r="F3" s="88"/>
      <c r="G3" s="1163"/>
      <c r="H3" s="1118"/>
      <c r="I3" s="1118"/>
      <c r="J3" s="1118"/>
    </row>
    <row r="4" spans="1:367" ht="15" customHeight="1" x14ac:dyDescent="0.35">
      <c r="D4" s="86" t="str">
        <f>ToC!$J$37</f>
        <v>Table B9: Cumulative Inflation Rates by Month</v>
      </c>
      <c r="E4" s="86"/>
      <c r="F4" s="86"/>
      <c r="G4" s="1164"/>
      <c r="H4" s="1118"/>
      <c r="I4" s="1118"/>
      <c r="J4" s="1118"/>
    </row>
    <row r="5" spans="1:367" ht="6" customHeight="1" thickBot="1" x14ac:dyDescent="0.4">
      <c r="D5" s="1156"/>
      <c r="E5" s="1156"/>
      <c r="F5" s="1156"/>
      <c r="G5" s="1178"/>
      <c r="H5" s="1157"/>
      <c r="I5" s="1157"/>
      <c r="J5" s="115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row>
    <row r="6" spans="1:367" ht="6" customHeight="1" thickTop="1" x14ac:dyDescent="0.35">
      <c r="D6" s="1154"/>
      <c r="E6" s="1154"/>
      <c r="F6" s="1154"/>
      <c r="G6" s="1165"/>
      <c r="H6" s="1155"/>
      <c r="I6" s="1155"/>
      <c r="J6" s="1155"/>
    </row>
    <row r="7" spans="1:367" ht="15" customHeight="1" x14ac:dyDescent="0.35">
      <c r="D7" s="1061" t="s">
        <v>1</v>
      </c>
      <c r="E7" s="1116"/>
      <c r="F7" s="1116"/>
      <c r="G7" s="326"/>
      <c r="H7" s="1329" t="s">
        <v>281</v>
      </c>
      <c r="I7" s="1329" t="s">
        <v>283</v>
      </c>
      <c r="J7" s="1329" t="s">
        <v>282</v>
      </c>
      <c r="L7" s="1329"/>
      <c r="M7" s="1329"/>
      <c r="N7" s="1329"/>
      <c r="O7" s="82"/>
      <c r="P7" s="82"/>
      <c r="Q7" s="82"/>
      <c r="R7" s="82"/>
    </row>
    <row r="8" spans="1:367" ht="6" customHeight="1" x14ac:dyDescent="0.35">
      <c r="D8" s="1117"/>
      <c r="E8" s="1117"/>
      <c r="F8" s="1117"/>
      <c r="G8" s="1166"/>
      <c r="H8" s="1158"/>
      <c r="I8" s="1158"/>
      <c r="J8" s="1158"/>
      <c r="L8" s="82"/>
      <c r="M8" s="82"/>
      <c r="N8" s="82"/>
      <c r="O8" s="82"/>
      <c r="P8" s="82"/>
      <c r="Q8" s="82"/>
      <c r="R8" s="82"/>
    </row>
    <row r="9" spans="1:367" ht="6" customHeight="1" x14ac:dyDescent="0.35">
      <c r="G9" s="326"/>
      <c r="L9" s="82"/>
      <c r="M9" s="82"/>
      <c r="N9" s="82"/>
      <c r="O9" s="82"/>
      <c r="P9" s="82"/>
      <c r="Q9" s="82"/>
      <c r="R9" s="82"/>
    </row>
    <row r="10" spans="1:367" ht="15" customHeight="1" x14ac:dyDescent="0.35">
      <c r="D10" s="329" t="s">
        <v>215</v>
      </c>
      <c r="E10" s="329"/>
      <c r="G10" s="326"/>
      <c r="L10" s="82"/>
      <c r="M10" s="82"/>
      <c r="N10" s="82"/>
      <c r="O10" s="82"/>
      <c r="P10" s="82"/>
      <c r="Q10" s="82"/>
      <c r="R10" s="82"/>
    </row>
    <row r="11" spans="1:367" ht="15" customHeight="1" x14ac:dyDescent="0.35">
      <c r="A11">
        <v>1</v>
      </c>
      <c r="D11" s="1188" t="str">
        <f>Control!$D$18</f>
        <v>Cost Estimate Date</v>
      </c>
      <c r="E11" s="1119"/>
      <c r="F11" t="str">
        <f>"["&amp;A11&amp;"]"</f>
        <v>[1]</v>
      </c>
      <c r="G11" s="82" t="str">
        <f>Control!$D$3</f>
        <v>Control Table</v>
      </c>
      <c r="H11" s="150">
        <f>Control!$H$18</f>
        <v>45658</v>
      </c>
      <c r="I11" s="150">
        <f>Control!$H$18</f>
        <v>45658</v>
      </c>
      <c r="J11" s="150">
        <f>Control!$H$18</f>
        <v>45658</v>
      </c>
      <c r="L11" s="1186"/>
      <c r="M11" s="1186"/>
      <c r="N11" s="1186"/>
      <c r="O11" s="82"/>
      <c r="P11" s="82"/>
      <c r="Q11" s="82"/>
      <c r="R11" s="82"/>
    </row>
    <row r="12" spans="1:367" s="82" customFormat="1" ht="15" customHeight="1" x14ac:dyDescent="0.35">
      <c r="A12" s="82">
        <f>MAX($A$11:A11)+1</f>
        <v>2</v>
      </c>
      <c r="D12" s="1188" t="str">
        <f>Control!$D$38</f>
        <v>Equipment Contract Lock-In Date</v>
      </c>
      <c r="E12" s="1188"/>
      <c r="F12" s="82" t="str">
        <f>"["&amp;A12&amp;"]"</f>
        <v>[2]</v>
      </c>
      <c r="G12" s="82" t="s">
        <v>0</v>
      </c>
      <c r="H12" s="150">
        <f>INDEX(Control!$I$18:$K$39,MATCH($D12,Control!$D$18:$D$39,0),MATCH(H$7,Control!$I$10:$K$10,0))</f>
        <v>45717</v>
      </c>
      <c r="I12" s="150">
        <f>INDEX(Control!$I$18:$K$39,MATCH($D12,Control!$D$18:$D$39,0),MATCH(I$7,Control!$I$10:$K$10,0))</f>
        <v>45536</v>
      </c>
      <c r="J12" s="150">
        <f>INDEX(Control!$I$18:$K$39,MATCH($D12,Control!$D$18:$D$39,0),MATCH(J$7,Control!$I$10:$K$10,0))</f>
        <v>46419</v>
      </c>
      <c r="L12" s="1186"/>
      <c r="M12" s="1186"/>
      <c r="N12" s="1186"/>
    </row>
    <row r="13" spans="1:367" s="82" customFormat="1" ht="15" customHeight="1" x14ac:dyDescent="0.35">
      <c r="A13" s="82">
        <f>MAX($A$11:A12)+1</f>
        <v>3</v>
      </c>
      <c r="D13" s="291" t="str">
        <f>Control!$D$39</f>
        <v>Mid-Point Construction Date</v>
      </c>
      <c r="E13" s="1188"/>
      <c r="F13" s="82" t="str">
        <f>"["&amp;A13&amp;"]"</f>
        <v>[3]</v>
      </c>
      <c r="G13" s="2151" t="s">
        <v>0</v>
      </c>
      <c r="H13" s="150">
        <f>INDEX(Control!$I$18:$K$39,MATCH($D13,Control!$D$18:$D$39,0),MATCH(H$7,Control!$I$10:$K$10,0))</f>
        <v>46023</v>
      </c>
      <c r="I13" s="150">
        <f>INDEX(Control!$I$18:$K$39,MATCH($D13,Control!$D$18:$D$39,0),MATCH(I$7,Control!$I$10:$K$10,0))</f>
        <v>45870</v>
      </c>
      <c r="J13" s="150">
        <f>INDEX(Control!$I$18:$K$39,MATCH($D13,Control!$D$18:$D$39,0),MATCH(J$7,Control!$I$10:$K$10,0))</f>
        <v>46600</v>
      </c>
      <c r="L13" s="1186"/>
      <c r="M13" s="1186"/>
      <c r="N13" s="1186"/>
    </row>
    <row r="14" spans="1:367" ht="15" customHeight="1" x14ac:dyDescent="0.35">
      <c r="A14">
        <f>MAX($A$11:A13)+1</f>
        <v>4</v>
      </c>
      <c r="D14" s="1188" t="str">
        <f>Control!$D$19</f>
        <v>Online Date</v>
      </c>
      <c r="E14" s="1119"/>
      <c r="F14" t="str">
        <f>"["&amp;A14&amp;"]"</f>
        <v>[4]</v>
      </c>
      <c r="G14" s="82" t="str">
        <f>Control!$D$3</f>
        <v>Control Table</v>
      </c>
      <c r="H14" s="150">
        <f>Control!$H$19</f>
        <v>46905</v>
      </c>
      <c r="I14" s="150">
        <f>Control!$H$19</f>
        <v>46905</v>
      </c>
      <c r="J14" s="150">
        <f>Control!$H$19</f>
        <v>46905</v>
      </c>
      <c r="L14" s="1186"/>
      <c r="M14" s="82"/>
      <c r="N14" s="82"/>
      <c r="O14" s="82"/>
      <c r="P14" s="82"/>
      <c r="Q14" s="82"/>
      <c r="R14" s="82"/>
    </row>
    <row r="15" spans="1:367" ht="6" customHeight="1" x14ac:dyDescent="0.35">
      <c r="D15" s="1179"/>
      <c r="E15" s="1180"/>
      <c r="F15" s="310"/>
      <c r="G15" s="1181"/>
      <c r="H15" s="310"/>
      <c r="I15" s="310"/>
      <c r="J15" s="310"/>
      <c r="L15" s="82"/>
      <c r="M15" s="82"/>
      <c r="N15" s="82"/>
      <c r="O15" s="82"/>
      <c r="P15" s="82"/>
      <c r="Q15" s="82"/>
      <c r="R15" s="82"/>
    </row>
    <row r="16" spans="1:367" ht="6" customHeight="1" x14ac:dyDescent="0.35">
      <c r="D16" s="1182"/>
      <c r="E16" s="1183"/>
      <c r="F16" s="311"/>
      <c r="G16" s="1184"/>
      <c r="H16" s="311"/>
      <c r="I16" s="311"/>
      <c r="J16" s="311"/>
      <c r="L16" s="82"/>
      <c r="M16" s="82"/>
      <c r="N16" s="82"/>
      <c r="O16" s="82"/>
      <c r="P16" s="82"/>
      <c r="Q16" s="82"/>
      <c r="R16" s="82"/>
    </row>
    <row r="17" spans="1:367" ht="15" customHeight="1" x14ac:dyDescent="0.35">
      <c r="D17" s="1186" t="s">
        <v>549</v>
      </c>
      <c r="E17" s="329"/>
      <c r="F17" s="329"/>
      <c r="G17" s="1186"/>
      <c r="H17" s="1326"/>
      <c r="L17" s="82"/>
      <c r="M17" s="82"/>
      <c r="N17" s="82"/>
      <c r="O17" s="82"/>
      <c r="P17" s="82"/>
      <c r="Q17" s="82"/>
      <c r="R17" s="82"/>
    </row>
    <row r="18" spans="1:367" ht="15" customHeight="1" x14ac:dyDescent="0.35">
      <c r="A18">
        <f>MAX($A$11:A17)+1</f>
        <v>5</v>
      </c>
      <c r="D18" s="1119" t="s">
        <v>511</v>
      </c>
      <c r="E18" s="149" t="s">
        <v>506</v>
      </c>
      <c r="F18" t="str">
        <f>"["&amp;A18&amp;"]"</f>
        <v>[5]</v>
      </c>
      <c r="G18" s="2152" t="str">
        <f>$F$27&amp;" at "&amp;F12</f>
        <v>[11] at [2]</v>
      </c>
      <c r="H18" s="1599">
        <f>_xlfn.XLOOKUP(H12,$H$24:$NC$24,$H$27:$NC$27)</f>
        <v>1.0045026494815916</v>
      </c>
      <c r="I18" s="1599">
        <f t="shared" ref="I18:J18" si="0">_xlfn.XLOOKUP(I12,$H$24:$NC$24,$H$27:$NC$27)</f>
        <v>0.99055442960796958</v>
      </c>
      <c r="J18" s="1599">
        <f t="shared" si="0"/>
        <v>1.0551587468721519</v>
      </c>
      <c r="L18" s="1327"/>
      <c r="M18" s="1328"/>
      <c r="N18" s="1327"/>
      <c r="O18" s="82"/>
      <c r="P18" s="82"/>
      <c r="Q18" s="82"/>
      <c r="R18" s="82"/>
    </row>
    <row r="19" spans="1:367" ht="15" customHeight="1" x14ac:dyDescent="0.35">
      <c r="A19">
        <f>MAX($A$11:A18)+1</f>
        <v>6</v>
      </c>
      <c r="D19" s="1119" t="s">
        <v>509</v>
      </c>
      <c r="E19" s="149" t="s">
        <v>506</v>
      </c>
      <c r="F19" t="str">
        <f>"["&amp;A19&amp;"]"</f>
        <v>[6]</v>
      </c>
      <c r="G19" s="2152" t="str">
        <f>$F$27&amp;" at "&amp;F13</f>
        <v>[11] at [3]</v>
      </c>
      <c r="H19" s="1599">
        <f t="shared" ref="H19:J20" si="1">_xlfn.XLOOKUP(H13,$H$24:$NC$24,$H$27:$NC$27)</f>
        <v>1.0273218365724262</v>
      </c>
      <c r="I19" s="1599">
        <f t="shared" si="1"/>
        <v>1.0158481710901963</v>
      </c>
      <c r="J19" s="1599">
        <f t="shared" si="1"/>
        <v>1.0678835763226355</v>
      </c>
      <c r="L19" s="1327"/>
      <c r="M19" s="1327"/>
      <c r="N19" s="1327"/>
      <c r="O19" s="82"/>
      <c r="P19" s="82"/>
      <c r="Q19" s="82"/>
      <c r="R19" s="82"/>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row>
    <row r="20" spans="1:367" ht="15" customHeight="1" x14ac:dyDescent="0.35">
      <c r="A20">
        <f>MAX($A$11:A19)+1</f>
        <v>7</v>
      </c>
      <c r="D20" s="1119" t="s">
        <v>510</v>
      </c>
      <c r="E20" s="149" t="s">
        <v>506</v>
      </c>
      <c r="F20" t="str">
        <f>"["&amp;A20&amp;"]"</f>
        <v>[7]</v>
      </c>
      <c r="G20" s="2152" t="str">
        <f>$F$27&amp;" at "&amp;F14</f>
        <v>[11] at [4]</v>
      </c>
      <c r="H20" s="1599">
        <f t="shared" si="1"/>
        <v>1.0893292187020345</v>
      </c>
      <c r="I20" s="1599">
        <f t="shared" si="1"/>
        <v>1.0893292187020345</v>
      </c>
      <c r="J20" s="1599">
        <f t="shared" si="1"/>
        <v>1.0893292187020345</v>
      </c>
      <c r="L20" s="1327"/>
      <c r="M20" s="1327"/>
      <c r="N20" s="1327"/>
      <c r="O20" s="82"/>
      <c r="P20" s="82"/>
      <c r="Q20" s="82"/>
      <c r="R20" s="82"/>
    </row>
    <row r="21" spans="1:367" ht="6" customHeight="1" x14ac:dyDescent="0.35">
      <c r="D21" s="310"/>
      <c r="E21" s="310"/>
      <c r="F21" s="310"/>
      <c r="G21" s="1181"/>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310"/>
      <c r="GQ21" s="310"/>
      <c r="GR21" s="310"/>
      <c r="GS21" s="310"/>
      <c r="GT21" s="310"/>
      <c r="GU21" s="310"/>
      <c r="GV21" s="310"/>
      <c r="GW21" s="310"/>
      <c r="GX21" s="310"/>
      <c r="GY21" s="310"/>
      <c r="GZ21" s="310"/>
      <c r="HA21" s="310"/>
      <c r="HB21" s="310"/>
      <c r="HC21" s="310"/>
      <c r="HD21" s="310"/>
      <c r="HE21" s="310"/>
      <c r="HF21" s="310"/>
      <c r="HG21" s="310"/>
      <c r="HH21" s="310"/>
      <c r="HI21" s="310"/>
      <c r="HJ21" s="310"/>
      <c r="HK21" s="310"/>
      <c r="HL21" s="310"/>
      <c r="HM21" s="310"/>
      <c r="HN21" s="310"/>
      <c r="HO21" s="310"/>
      <c r="HP21" s="310"/>
      <c r="HQ21" s="310"/>
      <c r="HR21" s="310"/>
      <c r="HS21" s="310"/>
      <c r="HT21" s="310"/>
      <c r="HU21" s="310"/>
      <c r="HV21" s="310"/>
      <c r="HW21" s="310"/>
      <c r="HX21" s="310"/>
      <c r="HY21" s="310"/>
      <c r="HZ21" s="310"/>
      <c r="IA21" s="310"/>
      <c r="IB21" s="310"/>
      <c r="IC21" s="310"/>
      <c r="ID21" s="310"/>
      <c r="IE21" s="310"/>
      <c r="IF21" s="310"/>
      <c r="IG21" s="310"/>
      <c r="IH21" s="310"/>
      <c r="II21" s="310"/>
      <c r="IJ21" s="310"/>
      <c r="IK21" s="310"/>
      <c r="IL21" s="310"/>
      <c r="IM21" s="310"/>
      <c r="IN21" s="310"/>
      <c r="IO21" s="310"/>
      <c r="IP21" s="310"/>
      <c r="IQ21" s="310"/>
      <c r="IR21" s="310"/>
      <c r="IS21" s="310"/>
      <c r="IT21" s="310"/>
      <c r="IU21" s="310"/>
      <c r="IV21" s="310"/>
      <c r="IW21" s="310"/>
      <c r="IX21" s="310"/>
      <c r="IY21" s="310"/>
      <c r="IZ21" s="310"/>
      <c r="JA21" s="310"/>
      <c r="JB21" s="310"/>
      <c r="JC21" s="310"/>
      <c r="JD21" s="310"/>
      <c r="JE21" s="310"/>
      <c r="JF21" s="310"/>
      <c r="JG21" s="310"/>
      <c r="JH21" s="310"/>
      <c r="JI21" s="310"/>
      <c r="JJ21" s="310"/>
      <c r="JK21" s="310"/>
      <c r="JL21" s="310"/>
      <c r="JM21" s="310"/>
      <c r="JN21" s="310"/>
      <c r="JO21" s="310"/>
      <c r="JP21" s="310"/>
      <c r="JQ21" s="310"/>
      <c r="JR21" s="310"/>
      <c r="JS21" s="310"/>
      <c r="JT21" s="310"/>
      <c r="JU21" s="310"/>
      <c r="JV21" s="310"/>
      <c r="JW21" s="310"/>
      <c r="JX21" s="310"/>
      <c r="JY21" s="310"/>
      <c r="JZ21" s="310"/>
      <c r="KA21" s="310"/>
      <c r="KB21" s="310"/>
      <c r="KC21" s="310"/>
      <c r="KD21" s="310"/>
      <c r="KE21" s="310"/>
      <c r="KF21" s="310"/>
      <c r="KG21" s="310"/>
      <c r="KH21" s="310"/>
      <c r="KI21" s="310"/>
      <c r="KJ21" s="310"/>
      <c r="KK21" s="310"/>
      <c r="KL21" s="310"/>
      <c r="KM21" s="310"/>
      <c r="KN21" s="310"/>
      <c r="KO21" s="310"/>
      <c r="KP21" s="310"/>
      <c r="KQ21" s="310"/>
      <c r="KR21" s="310"/>
      <c r="KS21" s="310"/>
      <c r="KT21" s="310"/>
      <c r="KU21" s="310"/>
      <c r="KV21" s="310"/>
      <c r="KW21" s="310"/>
      <c r="KX21" s="310"/>
      <c r="KY21" s="310"/>
      <c r="KZ21" s="310"/>
      <c r="LA21" s="310"/>
      <c r="LB21" s="310"/>
      <c r="LC21" s="310"/>
      <c r="LD21" s="310"/>
      <c r="LE21" s="310"/>
      <c r="LF21" s="310"/>
      <c r="LG21" s="310"/>
      <c r="LH21" s="310"/>
      <c r="LI21" s="310"/>
      <c r="LJ21" s="310"/>
      <c r="LK21" s="310"/>
      <c r="LL21" s="310"/>
      <c r="LM21" s="310"/>
      <c r="LN21" s="310"/>
      <c r="LO21" s="310"/>
      <c r="LP21" s="310"/>
      <c r="LQ21" s="310"/>
      <c r="LR21" s="310"/>
      <c r="LS21" s="310"/>
      <c r="LT21" s="310"/>
      <c r="LU21" s="310"/>
      <c r="LV21" s="310"/>
      <c r="LW21" s="310"/>
      <c r="LX21" s="310"/>
      <c r="LY21" s="310"/>
      <c r="LZ21" s="310"/>
      <c r="MA21" s="310"/>
      <c r="MB21" s="310"/>
      <c r="MC21" s="310"/>
      <c r="MD21" s="310"/>
      <c r="ME21" s="310"/>
      <c r="MF21" s="310"/>
      <c r="MG21" s="310"/>
      <c r="MH21" s="310"/>
      <c r="MI21" s="310"/>
      <c r="MJ21" s="310"/>
      <c r="MK21" s="310"/>
      <c r="ML21" s="310"/>
      <c r="MM21" s="310"/>
      <c r="MN21" s="310"/>
      <c r="MO21" s="310"/>
      <c r="MP21" s="310"/>
      <c r="MQ21" s="310"/>
      <c r="MR21" s="310"/>
      <c r="MS21" s="310"/>
      <c r="MT21" s="310"/>
      <c r="MU21" s="310"/>
      <c r="MV21" s="310"/>
      <c r="MW21" s="310"/>
      <c r="MX21" s="310"/>
      <c r="MY21" s="310"/>
      <c r="MZ21" s="310"/>
      <c r="NA21" s="310"/>
      <c r="NB21" s="310"/>
      <c r="NC21" s="310"/>
    </row>
    <row r="22" spans="1:367" ht="6" customHeight="1" x14ac:dyDescent="0.35">
      <c r="D22" s="311"/>
      <c r="E22" s="311"/>
      <c r="F22" s="311"/>
      <c r="G22" s="1184"/>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row>
    <row r="23" spans="1:367" ht="15" customHeight="1" x14ac:dyDescent="0.35">
      <c r="D23" s="1175" t="s">
        <v>551</v>
      </c>
      <c r="E23" s="1154"/>
      <c r="F23" s="1154"/>
      <c r="G23" s="1660"/>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54"/>
      <c r="BT23" s="1154"/>
      <c r="BU23" s="1154"/>
      <c r="BV23" s="1154"/>
      <c r="BW23" s="1154"/>
      <c r="BX23" s="1154"/>
      <c r="BY23" s="1154"/>
      <c r="BZ23" s="1154"/>
      <c r="CA23" s="1154"/>
      <c r="CB23" s="1154"/>
      <c r="CC23" s="1154"/>
      <c r="CD23" s="1154"/>
      <c r="CE23" s="1154"/>
      <c r="CF23" s="1154"/>
      <c r="CG23" s="1154"/>
      <c r="CH23" s="1154"/>
      <c r="CI23" s="1154"/>
      <c r="CJ23" s="1154"/>
      <c r="CK23" s="1154"/>
      <c r="CL23" s="1154"/>
      <c r="CM23" s="1154"/>
      <c r="CN23" s="1154"/>
      <c r="CO23" s="1154"/>
      <c r="CP23" s="1154"/>
      <c r="CQ23" s="1154"/>
      <c r="CR23" s="1154"/>
      <c r="CS23" s="1154"/>
      <c r="CT23" s="1154"/>
      <c r="CU23" s="1154"/>
      <c r="CV23" s="1154"/>
      <c r="CW23" s="1154"/>
      <c r="CX23" s="1154"/>
      <c r="CY23" s="1154"/>
      <c r="CZ23" s="1154"/>
      <c r="DA23" s="1154"/>
      <c r="DB23" s="1154"/>
      <c r="DC23" s="1154"/>
      <c r="DD23" s="1154"/>
      <c r="DE23" s="1154"/>
      <c r="DF23" s="1154"/>
      <c r="DG23" s="1154"/>
      <c r="DH23" s="1154"/>
      <c r="DI23" s="1154"/>
      <c r="DJ23" s="1154"/>
      <c r="DK23" s="1154"/>
      <c r="DL23" s="1154"/>
      <c r="DM23" s="1154"/>
      <c r="DN23" s="1154"/>
      <c r="DO23" s="1154"/>
      <c r="DP23" s="1154"/>
      <c r="DQ23" s="1154"/>
      <c r="DR23" s="1154"/>
      <c r="DS23" s="1154"/>
      <c r="DT23" s="1154"/>
      <c r="DU23" s="1154"/>
      <c r="DV23" s="1154"/>
      <c r="DW23" s="1154"/>
      <c r="DX23" s="1154"/>
      <c r="DY23" s="1154"/>
      <c r="DZ23" s="1154"/>
      <c r="EA23" s="1154"/>
      <c r="EB23" s="1154"/>
      <c r="EC23" s="1154"/>
      <c r="ED23" s="1154"/>
      <c r="EE23" s="1154"/>
      <c r="EF23" s="1154"/>
      <c r="EG23" s="1154"/>
      <c r="EH23" s="1154"/>
      <c r="EI23" s="1154"/>
      <c r="EJ23" s="1154"/>
      <c r="EK23" s="1154"/>
      <c r="EL23" s="1154"/>
      <c r="EM23" s="1154"/>
      <c r="EN23" s="1154"/>
      <c r="EO23" s="1154"/>
      <c r="EP23" s="1154"/>
      <c r="EQ23" s="1154"/>
      <c r="ER23" s="1154"/>
      <c r="ES23" s="1154"/>
      <c r="ET23" s="1154"/>
      <c r="EU23" s="1154"/>
      <c r="EV23" s="1154"/>
      <c r="EW23" s="1154"/>
      <c r="EX23" s="1154"/>
      <c r="EY23" s="1154"/>
      <c r="EZ23" s="1154"/>
      <c r="FA23" s="1154"/>
      <c r="FB23" s="1154"/>
      <c r="FC23" s="1154"/>
      <c r="FD23" s="1154"/>
      <c r="FE23" s="1154"/>
      <c r="FF23" s="1154"/>
      <c r="FG23" s="1154"/>
      <c r="FH23" s="1154"/>
      <c r="FI23" s="1154"/>
      <c r="FJ23" s="1154"/>
      <c r="FK23" s="1154"/>
      <c r="FL23" s="1154"/>
      <c r="FM23" s="1154"/>
      <c r="FN23" s="1154"/>
      <c r="FO23" s="1154"/>
      <c r="FP23" s="1154"/>
      <c r="FQ23" s="1154"/>
      <c r="FR23" s="1154"/>
      <c r="FS23" s="1154"/>
      <c r="FT23" s="1154"/>
      <c r="FU23" s="1154"/>
      <c r="FV23" s="1154"/>
      <c r="FW23" s="1154"/>
      <c r="FX23" s="1154"/>
      <c r="FY23" s="1154"/>
      <c r="FZ23" s="1154"/>
      <c r="GA23" s="1154"/>
      <c r="GB23" s="1154"/>
      <c r="GC23" s="1154"/>
      <c r="GD23" s="1154"/>
      <c r="GE23" s="1154"/>
      <c r="GF23" s="1154"/>
      <c r="GG23" s="1154"/>
      <c r="GH23" s="1154"/>
      <c r="GI23" s="1154"/>
      <c r="GJ23" s="1154"/>
      <c r="GK23" s="1154"/>
      <c r="GL23" s="1154"/>
      <c r="GM23" s="1154"/>
      <c r="GN23" s="1154"/>
      <c r="GO23" s="1154"/>
      <c r="GP23" s="1154"/>
      <c r="GQ23" s="1154"/>
      <c r="GR23" s="1154"/>
      <c r="GS23" s="1154"/>
      <c r="GT23" s="1154"/>
      <c r="GU23" s="1154"/>
      <c r="GV23" s="1154"/>
      <c r="GW23" s="1154"/>
      <c r="GX23" s="1154"/>
      <c r="GY23" s="1154"/>
      <c r="GZ23" s="1154"/>
      <c r="HA23" s="1154"/>
      <c r="HB23" s="1154"/>
      <c r="HC23" s="1154"/>
      <c r="HD23" s="1154"/>
      <c r="HE23" s="1154"/>
      <c r="HF23" s="1154"/>
      <c r="HG23" s="1154"/>
      <c r="HH23" s="1154"/>
      <c r="HI23" s="1154"/>
      <c r="HJ23" s="1154"/>
      <c r="HK23" s="1154"/>
      <c r="HL23" s="1154"/>
      <c r="HM23" s="1154"/>
      <c r="HN23" s="1154"/>
      <c r="HO23" s="1154"/>
      <c r="HP23" s="1154"/>
      <c r="HQ23" s="1154"/>
      <c r="HR23" s="1154"/>
      <c r="HS23" s="1154"/>
      <c r="HT23" s="1154"/>
      <c r="HU23" s="1154"/>
      <c r="HV23" s="1154"/>
      <c r="HW23" s="1154"/>
      <c r="HX23" s="1154"/>
      <c r="HY23" s="1154"/>
      <c r="HZ23" s="1154"/>
      <c r="IA23" s="1154"/>
      <c r="IB23" s="1154"/>
      <c r="IC23" s="1154"/>
      <c r="ID23" s="1154"/>
      <c r="IE23" s="1154"/>
      <c r="IF23" s="1154"/>
      <c r="IG23" s="1154"/>
      <c r="IH23" s="1154"/>
      <c r="II23" s="1154"/>
      <c r="IJ23" s="1154"/>
      <c r="IK23" s="1154"/>
      <c r="IL23" s="1154"/>
      <c r="IM23" s="1154"/>
      <c r="IN23" s="1154"/>
      <c r="IO23" s="1154"/>
      <c r="IP23" s="1154"/>
      <c r="IQ23" s="1154"/>
      <c r="IR23" s="1154"/>
      <c r="IS23" s="1154"/>
      <c r="IT23" s="1154"/>
      <c r="IU23" s="1154"/>
      <c r="IV23" s="1154"/>
      <c r="IW23" s="1154"/>
      <c r="IX23" s="1154"/>
      <c r="IY23" s="1154"/>
      <c r="IZ23" s="1154"/>
      <c r="JA23" s="1154"/>
      <c r="JB23" s="1154"/>
      <c r="JC23" s="1154"/>
      <c r="JD23" s="1154"/>
      <c r="JE23" s="1154"/>
      <c r="JF23" s="1154"/>
      <c r="JG23" s="1154"/>
      <c r="JH23" s="1154"/>
      <c r="JI23" s="1154"/>
      <c r="JJ23" s="1154"/>
      <c r="JK23" s="1154"/>
      <c r="JL23" s="1154"/>
      <c r="JM23" s="1154"/>
      <c r="JN23" s="1154"/>
      <c r="JO23" s="1154"/>
      <c r="JP23" s="1154"/>
      <c r="JQ23" s="1154"/>
      <c r="JR23" s="1154"/>
      <c r="JS23" s="1154"/>
      <c r="JT23" s="1154"/>
      <c r="JU23" s="1154"/>
      <c r="JV23" s="1154"/>
      <c r="JW23" s="1154"/>
      <c r="JX23" s="1154"/>
      <c r="JY23" s="1154"/>
      <c r="JZ23" s="1154"/>
      <c r="KA23" s="1154"/>
      <c r="KB23" s="1154"/>
      <c r="KC23" s="1154"/>
      <c r="KD23" s="1154"/>
      <c r="KE23" s="1154"/>
      <c r="KF23" s="1154"/>
      <c r="KG23" s="1154"/>
      <c r="KH23" s="1154"/>
      <c r="KI23" s="1154"/>
      <c r="KJ23" s="1154"/>
      <c r="KK23" s="1154"/>
      <c r="KL23" s="1154"/>
      <c r="KM23" s="1154"/>
      <c r="KN23" s="1154"/>
      <c r="KO23" s="1154"/>
      <c r="KP23" s="1154"/>
      <c r="KQ23" s="1154"/>
      <c r="KR23" s="1154"/>
      <c r="KS23" s="1154"/>
      <c r="KT23" s="1154"/>
      <c r="KU23" s="1154"/>
      <c r="KV23" s="1154"/>
      <c r="KW23" s="1154"/>
      <c r="KX23" s="1154"/>
      <c r="KY23" s="1154"/>
      <c r="KZ23" s="1154"/>
      <c r="LA23" s="1154"/>
      <c r="LB23" s="1154"/>
      <c r="LC23" s="1154"/>
      <c r="LD23" s="1154"/>
      <c r="LE23" s="1154"/>
      <c r="LF23" s="1154"/>
      <c r="LG23" s="1154"/>
      <c r="LH23" s="1154"/>
      <c r="LI23" s="1154"/>
      <c r="LJ23" s="1154"/>
      <c r="LK23" s="1154"/>
      <c r="LL23" s="1154"/>
      <c r="LM23" s="1154"/>
      <c r="LN23" s="1154"/>
      <c r="LO23" s="1154"/>
      <c r="LP23" s="1154"/>
      <c r="LQ23" s="1154"/>
      <c r="LR23" s="1154"/>
      <c r="LS23" s="1154"/>
      <c r="LT23" s="1154"/>
      <c r="LU23" s="1154"/>
      <c r="LV23" s="1154"/>
      <c r="LW23" s="1154"/>
      <c r="LX23" s="1154"/>
      <c r="LY23" s="1154"/>
      <c r="LZ23" s="1154"/>
      <c r="MA23" s="1154"/>
      <c r="MB23" s="1154"/>
      <c r="MC23" s="1154"/>
      <c r="MD23" s="1154"/>
      <c r="ME23" s="1154"/>
      <c r="MF23" s="1154"/>
      <c r="MG23" s="1154"/>
      <c r="MH23" s="1154"/>
      <c r="MI23" s="1154"/>
      <c r="MJ23" s="1154"/>
      <c r="MK23" s="1154"/>
      <c r="ML23" s="1154"/>
      <c r="MM23" s="1154"/>
      <c r="MN23" s="1154"/>
      <c r="MO23" s="1154"/>
      <c r="MP23" s="1154"/>
      <c r="MQ23" s="1154"/>
      <c r="MR23" s="1154"/>
      <c r="MS23" s="1154"/>
      <c r="MT23" s="1154"/>
      <c r="MU23" s="1154"/>
      <c r="MV23" s="1154"/>
      <c r="MW23" s="1154"/>
      <c r="MX23" s="1154"/>
      <c r="MY23" s="1154"/>
      <c r="MZ23" s="1154"/>
      <c r="NA23" s="1154"/>
      <c r="NB23" s="1154"/>
      <c r="NC23" s="1154"/>
    </row>
    <row r="24" spans="1:367" ht="15" customHeight="1" x14ac:dyDescent="0.35">
      <c r="A24">
        <f>MAX($A$11:A23)+1</f>
        <v>8</v>
      </c>
      <c r="D24" s="1185" t="s">
        <v>228</v>
      </c>
      <c r="E24" s="1172"/>
      <c r="F24" t="str">
        <f>"["&amp;A24&amp;"]"</f>
        <v>[8]</v>
      </c>
      <c r="G24" s="82"/>
      <c r="H24" s="1189">
        <f>IF(MAX($G$24:G$24)=0,MIN($H$11:$J$11,$H$14:$J$14,Control!$I$19:$K$19,$H$13:$J$13,$H$12:$J$12),EDATE(G$24,1))</f>
        <v>45536</v>
      </c>
      <c r="I24" s="1189">
        <f>IF(MAX($G$24:H$24)=0,MIN($H$11:$J$11,$H$14:$J$14,Control!$I$19:$K$19,$H$13:$J$13,$H$12:$J$12),EDATE(H$24,1))</f>
        <v>45566</v>
      </c>
      <c r="J24" s="1189">
        <f>IF(MAX($G$24:I$24)=0,MIN($H$11:$J$11,$H$14:$J$14,Control!$I$19:$K$19,$H$13:$J$13,$H$12:$J$12),EDATE(I$24,1))</f>
        <v>45597</v>
      </c>
      <c r="K24" s="1189">
        <f>IF(MAX($G$24:J$24)=0,MIN($H$11:$J$11,$H$14:$J$14,Control!$I$19:$K$19,$H$13:$J$13,$H$12:$J$12),EDATE(J$24,1))</f>
        <v>45627</v>
      </c>
      <c r="L24" s="1189">
        <f>IF(MAX($G$24:K$24)=0,MIN($H$11:$J$11,$H$14:$J$14,Control!$I$19:$K$19,$H$13:$J$13,$H$12:$J$12),EDATE(K$24,1))</f>
        <v>45658</v>
      </c>
      <c r="M24" s="1189">
        <f>IF(MAX($G$24:L$24)=0,MIN($H$11:$J$11,$H$14:$J$14,Control!$I$19:$K$19,$H$13:$J$13,$H$12:$J$12),EDATE(L$24,1))</f>
        <v>45689</v>
      </c>
      <c r="N24" s="1189">
        <f>IF(MAX($G$24:M$24)=0,MIN($H$11:$J$11,$H$14:$J$14,Control!$I$19:$K$19,$H$13:$J$13,$H$12:$J$12),EDATE(M$24,1))</f>
        <v>45717</v>
      </c>
      <c r="O24" s="1189">
        <f>IF(MAX($G$24:N$24)=0,MIN($H$11:$J$11,$H$14:$J$14,Control!$I$19:$K$19,$H$13:$J$13,$H$12:$J$12),EDATE(N$24,1))</f>
        <v>45748</v>
      </c>
      <c r="P24" s="1189">
        <f>IF(MAX($G$24:O$24)=0,MIN($H$11:$J$11,$H$14:$J$14,Control!$I$19:$K$19,$H$13:$J$13,$H$12:$J$12),EDATE(O$24,1))</f>
        <v>45778</v>
      </c>
      <c r="Q24" s="1189">
        <f>IF(MAX($G$24:P$24)=0,MIN($H$11:$J$11,$H$14:$J$14,Control!$I$19:$K$19,$H$13:$J$13,$H$12:$J$12),EDATE(P$24,1))</f>
        <v>45809</v>
      </c>
      <c r="R24" s="1189">
        <f>IF(MAX($G$24:Q$24)=0,MIN($H$11:$J$11,$H$14:$J$14,Control!$I$19:$K$19,$H$13:$J$13,$H$12:$J$12),EDATE(Q$24,1))</f>
        <v>45839</v>
      </c>
      <c r="S24" s="1189">
        <f>IF(MAX($G$24:R$24)=0,MIN($H$11:$J$11,$H$14:$J$14,Control!$I$19:$K$19,$H$13:$J$13,$H$12:$J$12),EDATE(R$24,1))</f>
        <v>45870</v>
      </c>
      <c r="T24" s="1189">
        <f>IF(MAX($G$24:S$24)=0,MIN($H$11:$J$11,$H$14:$J$14,Control!$I$19:$K$19,$H$13:$J$13,$H$12:$J$12),EDATE(S$24,1))</f>
        <v>45901</v>
      </c>
      <c r="U24" s="1189">
        <f>IF(MAX($G$24:T$24)=0,MIN($H$11:$J$11,$H$14:$J$14,Control!$I$19:$K$19,$H$13:$J$13,$H$12:$J$12),EDATE(T$24,1))</f>
        <v>45931</v>
      </c>
      <c r="V24" s="1189">
        <f>IF(MAX($G$24:U$24)=0,MIN($H$11:$J$11,$H$14:$J$14,Control!$I$19:$K$19,$H$13:$J$13,$H$12:$J$12),EDATE(U$24,1))</f>
        <v>45962</v>
      </c>
      <c r="W24" s="1189">
        <f>IF(MAX($G$24:V$24)=0,MIN($H$11:$J$11,$H$14:$J$14,Control!$I$19:$K$19,$H$13:$J$13,$H$12:$J$12),EDATE(V$24,1))</f>
        <v>45992</v>
      </c>
      <c r="X24" s="1189">
        <f>IF(MAX($G$24:W$24)=0,MIN($H$11:$J$11,$H$14:$J$14,Control!$I$19:$K$19,$H$13:$J$13,$H$12:$J$12),EDATE(W$24,1))</f>
        <v>46023</v>
      </c>
      <c r="Y24" s="1189">
        <f>IF(MAX($G$24:X$24)=0,MIN($H$11:$J$11,$H$14:$J$14,Control!$I$19:$K$19,$H$13:$J$13,$H$12:$J$12),EDATE(X$24,1))</f>
        <v>46054</v>
      </c>
      <c r="Z24" s="1189">
        <f>IF(MAX($G$24:Y$24)=0,MIN($H$11:$J$11,$H$14:$J$14,Control!$I$19:$K$19,$H$13:$J$13,$H$12:$J$12),EDATE(Y$24,1))</f>
        <v>46082</v>
      </c>
      <c r="AA24" s="1189">
        <f>IF(MAX($G$24:Z$24)=0,MIN($H$11:$J$11,$H$14:$J$14,Control!$I$19:$K$19,$H$13:$J$13,$H$12:$J$12),EDATE(Z$24,1))</f>
        <v>46113</v>
      </c>
      <c r="AB24" s="1189">
        <f>IF(MAX($G$24:AA$24)=0,MIN($H$11:$J$11,$H$14:$J$14,Control!$I$19:$K$19,$H$13:$J$13,$H$12:$J$12),EDATE(AA$24,1))</f>
        <v>46143</v>
      </c>
      <c r="AC24" s="1189">
        <f>IF(MAX($G$24:AB$24)=0,MIN($H$11:$J$11,$H$14:$J$14,Control!$I$19:$K$19,$H$13:$J$13,$H$12:$J$12),EDATE(AB$24,1))</f>
        <v>46174</v>
      </c>
      <c r="AD24" s="1189">
        <f>IF(MAX($G$24:AC$24)=0,MIN($H$11:$J$11,$H$14:$J$14,Control!$I$19:$K$19,$H$13:$J$13,$H$12:$J$12),EDATE(AC$24,1))</f>
        <v>46204</v>
      </c>
      <c r="AE24" s="1189">
        <f>IF(MAX($G$24:AD$24)=0,MIN($H$11:$J$11,$H$14:$J$14,Control!$I$19:$K$19,$H$13:$J$13,$H$12:$J$12),EDATE(AD$24,1))</f>
        <v>46235</v>
      </c>
      <c r="AF24" s="1189">
        <f>IF(MAX($G$24:AE$24)=0,MIN($H$11:$J$11,$H$14:$J$14,Control!$I$19:$K$19,$H$13:$J$13,$H$12:$J$12),EDATE(AE$24,1))</f>
        <v>46266</v>
      </c>
      <c r="AG24" s="1189">
        <f>IF(MAX($G$24:AF$24)=0,MIN($H$11:$J$11,$H$14:$J$14,Control!$I$19:$K$19,$H$13:$J$13,$H$12:$J$12),EDATE(AF$24,1))</f>
        <v>46296</v>
      </c>
      <c r="AH24" s="1189">
        <f>IF(MAX($G$24:AG$24)=0,MIN($H$11:$J$11,$H$14:$J$14,Control!$I$19:$K$19,$H$13:$J$13,$H$12:$J$12),EDATE(AG$24,1))</f>
        <v>46327</v>
      </c>
      <c r="AI24" s="1189">
        <f>IF(MAX($G$24:AH$24)=0,MIN($H$11:$J$11,$H$14:$J$14,Control!$I$19:$K$19,$H$13:$J$13,$H$12:$J$12),EDATE(AH$24,1))</f>
        <v>46357</v>
      </c>
      <c r="AJ24" s="1189">
        <f>IF(MAX($G$24:AI$24)=0,MIN($H$11:$J$11,$H$14:$J$14,Control!$I$19:$K$19,$H$13:$J$13,$H$12:$J$12),EDATE(AI$24,1))</f>
        <v>46388</v>
      </c>
      <c r="AK24" s="1189">
        <f>IF(MAX($G$24:AJ$24)=0,MIN($H$11:$J$11,$H$14:$J$14,Control!$I$19:$K$19,$H$13:$J$13,$H$12:$J$12),EDATE(AJ$24,1))</f>
        <v>46419</v>
      </c>
      <c r="AL24" s="1189">
        <f>IF(MAX($G$24:AK$24)=0,MIN($H$11:$J$11,$H$14:$J$14,Control!$I$19:$K$19,$H$13:$J$13,$H$12:$J$12),EDATE(AK$24,1))</f>
        <v>46447</v>
      </c>
      <c r="AM24" s="1189">
        <f>IF(MAX($G$24:AL$24)=0,MIN($H$11:$J$11,$H$14:$J$14,Control!$I$19:$K$19,$H$13:$J$13,$H$12:$J$12),EDATE(AL$24,1))</f>
        <v>46478</v>
      </c>
      <c r="AN24" s="1189">
        <f>IF(MAX($G$24:AM$24)=0,MIN($H$11:$J$11,$H$14:$J$14,Control!$I$19:$K$19,$H$13:$J$13,$H$12:$J$12),EDATE(AM$24,1))</f>
        <v>46508</v>
      </c>
      <c r="AO24" s="1189">
        <f>IF(MAX($G$24:AN$24)=0,MIN($H$11:$J$11,$H$14:$J$14,Control!$I$19:$K$19,$H$13:$J$13,$H$12:$J$12),EDATE(AN$24,1))</f>
        <v>46539</v>
      </c>
      <c r="AP24" s="1189">
        <f>IF(MAX($G$24:AO$24)=0,MIN($H$11:$J$11,$H$14:$J$14,Control!$I$19:$K$19,$H$13:$J$13,$H$12:$J$12),EDATE(AO$24,1))</f>
        <v>46569</v>
      </c>
      <c r="AQ24" s="1189">
        <f>IF(MAX($G$24:AP$24)=0,MIN($H$11:$J$11,$H$14:$J$14,Control!$I$19:$K$19,$H$13:$J$13,$H$12:$J$12),EDATE(AP$24,1))</f>
        <v>46600</v>
      </c>
      <c r="AR24" s="1189">
        <f>IF(MAX($G$24:AQ$24)=0,MIN($H$11:$J$11,$H$14:$J$14,Control!$I$19:$K$19,$H$13:$J$13,$H$12:$J$12),EDATE(AQ$24,1))</f>
        <v>46631</v>
      </c>
      <c r="AS24" s="1189">
        <f>IF(MAX($G$24:AR$24)=0,MIN($H$11:$J$11,$H$14:$J$14,Control!$I$19:$K$19,$H$13:$J$13,$H$12:$J$12),EDATE(AR$24,1))</f>
        <v>46661</v>
      </c>
      <c r="AT24" s="1189">
        <f>IF(MAX($G$24:AS$24)=0,MIN($H$11:$J$11,$H$14:$J$14,Control!$I$19:$K$19,$H$13:$J$13,$H$12:$J$12),EDATE(AS$24,1))</f>
        <v>46692</v>
      </c>
      <c r="AU24" s="1189">
        <f>IF(MAX($G$24:AT$24)=0,MIN($H$11:$J$11,$H$14:$J$14,Control!$I$19:$K$19,$H$13:$J$13,$H$12:$J$12),EDATE(AT$24,1))</f>
        <v>46722</v>
      </c>
      <c r="AV24" s="1189">
        <f>IF(MAX($G$24:AU$24)=0,MIN($H$11:$J$11,$H$14:$J$14,Control!$I$19:$K$19,$H$13:$J$13,$H$12:$J$12),EDATE(AU$24,1))</f>
        <v>46753</v>
      </c>
      <c r="AW24" s="1189">
        <f>IF(MAX($G$24:AV$24)=0,MIN($H$11:$J$11,$H$14:$J$14,Control!$I$19:$K$19,$H$13:$J$13,$H$12:$J$12),EDATE(AV$24,1))</f>
        <v>46784</v>
      </c>
      <c r="AX24" s="1189">
        <f>IF(MAX($G$24:AW$24)=0,MIN($H$11:$J$11,$H$14:$J$14,Control!$I$19:$K$19,$H$13:$J$13,$H$12:$J$12),EDATE(AW$24,1))</f>
        <v>46813</v>
      </c>
      <c r="AY24" s="1189">
        <f>IF(MAX($G$24:AX$24)=0,MIN($H$11:$J$11,$H$14:$J$14,Control!$I$19:$K$19,$H$13:$J$13,$H$12:$J$12),EDATE(AX$24,1))</f>
        <v>46844</v>
      </c>
      <c r="AZ24" s="1189">
        <f>IF(MAX($G$24:AY$24)=0,MIN($H$11:$J$11,$H$14:$J$14,Control!$I$19:$K$19,$H$13:$J$13,$H$12:$J$12),EDATE(AY$24,1))</f>
        <v>46874</v>
      </c>
      <c r="BA24" s="1189">
        <f>IF(MAX($G$24:AZ$24)=0,MIN($H$11:$J$11,$H$14:$J$14,Control!$I$19:$K$19,$H$13:$J$13,$H$12:$J$12),EDATE(AZ$24,1))</f>
        <v>46905</v>
      </c>
      <c r="BB24" s="1189">
        <f>IF(MAX($G$24:BA$24)=0,MIN($H$11:$J$11,$H$14:$J$14,Control!$I$19:$K$19,$H$13:$J$13,$H$12:$J$12),EDATE(BA$24,1))</f>
        <v>46935</v>
      </c>
      <c r="BC24" s="1189">
        <f>IF(MAX($G$24:BB$24)=0,MIN($H$11:$J$11,$H$14:$J$14,Control!$I$19:$K$19,$H$13:$J$13,$H$12:$J$12),EDATE(BB$24,1))</f>
        <v>46966</v>
      </c>
      <c r="BD24" s="1189">
        <f>IF(MAX($G$24:BC$24)=0,MIN($H$11:$J$11,$H$14:$J$14,Control!$I$19:$K$19,$H$13:$J$13,$H$12:$J$12),EDATE(BC$24,1))</f>
        <v>46997</v>
      </c>
      <c r="BE24" s="1189">
        <f>IF(MAX($G$24:BD$24)=0,MIN($H$11:$J$11,$H$14:$J$14,Control!$I$19:$K$19,$H$13:$J$13,$H$12:$J$12),EDATE(BD$24,1))</f>
        <v>47027</v>
      </c>
      <c r="BF24" s="1189">
        <f>IF(MAX($G$24:BE$24)=0,MIN($H$11:$J$11,$H$14:$J$14,Control!$I$19:$K$19,$H$13:$J$13,$H$12:$J$12),EDATE(BE$24,1))</f>
        <v>47058</v>
      </c>
      <c r="BG24" s="1189">
        <f>IF(MAX($G$24:BF$24)=0,MIN($H$11:$J$11,$H$14:$J$14,Control!$I$19:$K$19,$H$13:$J$13,$H$12:$J$12),EDATE(BF$24,1))</f>
        <v>47088</v>
      </c>
      <c r="BH24" s="1189">
        <f>IF(MAX($G$24:BG$24)=0,MIN($H$11:$J$11,$H$14:$J$14,Control!$I$19:$K$19,$H$13:$J$13,$H$12:$J$12),EDATE(BG$24,1))</f>
        <v>47119</v>
      </c>
      <c r="BI24" s="1189">
        <f>IF(MAX($G$24:BH$24)=0,MIN($H$11:$J$11,$H$14:$J$14,Control!$I$19:$K$19,$H$13:$J$13,$H$12:$J$12),EDATE(BH$24,1))</f>
        <v>47150</v>
      </c>
      <c r="BJ24" s="1189">
        <f>IF(MAX($G$24:BI$24)=0,MIN($H$11:$J$11,$H$14:$J$14,Control!$I$19:$K$19,$H$13:$J$13,$H$12:$J$12),EDATE(BI$24,1))</f>
        <v>47178</v>
      </c>
      <c r="BK24" s="1189">
        <f>IF(MAX($G$24:BJ$24)=0,MIN($H$11:$J$11,$H$14:$J$14,Control!$I$19:$K$19,$H$13:$J$13,$H$12:$J$12),EDATE(BJ$24,1))</f>
        <v>47209</v>
      </c>
      <c r="BL24" s="1189">
        <f>IF(MAX($G$24:BK$24)=0,MIN($H$11:$J$11,$H$14:$J$14,Control!$I$19:$K$19,$H$13:$J$13,$H$12:$J$12),EDATE(BK$24,1))</f>
        <v>47239</v>
      </c>
      <c r="BM24" s="1189">
        <f>IF(MAX($G$24:BL$24)=0,MIN($H$11:$J$11,$H$14:$J$14,Control!$I$19:$K$19,$H$13:$J$13,$H$12:$J$12),EDATE(BL$24,1))</f>
        <v>47270</v>
      </c>
      <c r="BN24" s="1189">
        <f>IF(MAX($G$24:BM$24)=0,MIN($H$11:$J$11,$H$14:$J$14,Control!$I$19:$K$19,$H$13:$J$13,$H$12:$J$12),EDATE(BM$24,1))</f>
        <v>47300</v>
      </c>
      <c r="BO24" s="1189">
        <f>IF(MAX($G$24:BN$24)=0,MIN($H$11:$J$11,$H$14:$J$14,Control!$I$19:$K$19,$H$13:$J$13,$H$12:$J$12),EDATE(BN$24,1))</f>
        <v>47331</v>
      </c>
      <c r="BP24" s="1189">
        <f>IF(MAX($G$24:BO$24)=0,MIN($H$11:$J$11,$H$14:$J$14,Control!$I$19:$K$19,$H$13:$J$13,$H$12:$J$12),EDATE(BO$24,1))</f>
        <v>47362</v>
      </c>
      <c r="BQ24" s="1189">
        <f>IF(MAX($G$24:BP$24)=0,MIN($H$11:$J$11,$H$14:$J$14,Control!$I$19:$K$19,$H$13:$J$13,$H$12:$J$12),EDATE(BP$24,1))</f>
        <v>47392</v>
      </c>
      <c r="BR24" s="1189">
        <f>IF(MAX($G$24:BQ$24)=0,MIN($H$11:$J$11,$H$14:$J$14,Control!$I$19:$K$19,$H$13:$J$13,$H$12:$J$12),EDATE(BQ$24,1))</f>
        <v>47423</v>
      </c>
      <c r="BS24" s="1189">
        <f>IF(MAX($G$24:BR$24)=0,MIN($H$11:$J$11,$H$14:$J$14,Control!$I$19:$K$19,$H$13:$J$13,$H$12:$J$12),EDATE(BR$24,1))</f>
        <v>47453</v>
      </c>
      <c r="BT24" s="1189">
        <f>IF(MAX($G$24:BS$24)=0,MIN($H$11:$J$11,$H$14:$J$14,Control!$I$19:$K$19,$H$13:$J$13,$H$12:$J$12),EDATE(BS$24,1))</f>
        <v>47484</v>
      </c>
      <c r="BU24" s="1189">
        <f>IF(MAX($G$24:BT$24)=0,MIN($H$11:$J$11,$H$14:$J$14,Control!$I$19:$K$19,$H$13:$J$13,$H$12:$J$12),EDATE(BT$24,1))</f>
        <v>47515</v>
      </c>
      <c r="BV24" s="1189">
        <f>IF(MAX($G$24:BU$24)=0,MIN($H$11:$J$11,$H$14:$J$14,Control!$I$19:$K$19,$H$13:$J$13,$H$12:$J$12),EDATE(BU$24,1))</f>
        <v>47543</v>
      </c>
      <c r="BW24" s="1189">
        <f>IF(MAX($G$24:BV$24)=0,MIN($H$11:$J$11,$H$14:$J$14,Control!$I$19:$K$19,$H$13:$J$13,$H$12:$J$12),EDATE(BV$24,1))</f>
        <v>47574</v>
      </c>
      <c r="BX24" s="1189">
        <f>IF(MAX($G$24:BW$24)=0,MIN($H$11:$J$11,$H$14:$J$14,Control!$I$19:$K$19,$H$13:$J$13,$H$12:$J$12),EDATE(BW$24,1))</f>
        <v>47604</v>
      </c>
      <c r="BY24" s="1189">
        <f>IF(MAX($G$24:BX$24)=0,MIN($H$11:$J$11,$H$14:$J$14,Control!$I$19:$K$19,$H$13:$J$13,$H$12:$J$12),EDATE(BX$24,1))</f>
        <v>47635</v>
      </c>
      <c r="BZ24" s="1189">
        <f>IF(MAX($G$24:BY$24)=0,MIN($H$11:$J$11,$H$14:$J$14,Control!$I$19:$K$19,$H$13:$J$13,$H$12:$J$12),EDATE(BY$24,1))</f>
        <v>47665</v>
      </c>
      <c r="CA24" s="1189">
        <f>IF(MAX($G$24:BZ$24)=0,MIN($H$11:$J$11,$H$14:$J$14,Control!$I$19:$K$19,$H$13:$J$13,$H$12:$J$12),EDATE(BZ$24,1))</f>
        <v>47696</v>
      </c>
      <c r="CB24" s="1189">
        <f>IF(MAX($G$24:CA$24)=0,MIN($H$11:$J$11,$H$14:$J$14,Control!$I$19:$K$19,$H$13:$J$13,$H$12:$J$12),EDATE(CA$24,1))</f>
        <v>47727</v>
      </c>
      <c r="CC24" s="1189">
        <f>IF(MAX($G$24:CB$24)=0,MIN($H$11:$J$11,$H$14:$J$14,Control!$I$19:$K$19,$H$13:$J$13,$H$12:$J$12),EDATE(CB$24,1))</f>
        <v>47757</v>
      </c>
      <c r="CD24" s="1189">
        <f>IF(MAX($G$24:CC$24)=0,MIN($H$11:$J$11,$H$14:$J$14,Control!$I$19:$K$19,$H$13:$J$13,$H$12:$J$12),EDATE(CC$24,1))</f>
        <v>47788</v>
      </c>
      <c r="CE24" s="1189">
        <f>IF(MAX($G$24:CD$24)=0,MIN($H$11:$J$11,$H$14:$J$14,Control!$I$19:$K$19,$H$13:$J$13,$H$12:$J$12),EDATE(CD$24,1))</f>
        <v>47818</v>
      </c>
      <c r="CF24" s="1189">
        <f>IF(MAX($G$24:CE$24)=0,MIN($H$11:$J$11,$H$14:$J$14,Control!$I$19:$K$19,$H$13:$J$13,$H$12:$J$12),EDATE(CE$24,1))</f>
        <v>47849</v>
      </c>
      <c r="CG24" s="1189">
        <f>IF(MAX($G$24:CF$24)=0,MIN($H$11:$J$11,$H$14:$J$14,Control!$I$19:$K$19,$H$13:$J$13,$H$12:$J$12),EDATE(CF$24,1))</f>
        <v>47880</v>
      </c>
      <c r="CH24" s="1189">
        <f>IF(MAX($G$24:CG$24)=0,MIN($H$11:$J$11,$H$14:$J$14,Control!$I$19:$K$19,$H$13:$J$13,$H$12:$J$12),EDATE(CG$24,1))</f>
        <v>47908</v>
      </c>
      <c r="CI24" s="1189">
        <f>IF(MAX($G$24:CH$24)=0,MIN($H$11:$J$11,$H$14:$J$14,Control!$I$19:$K$19,$H$13:$J$13,$H$12:$J$12),EDATE(CH$24,1))</f>
        <v>47939</v>
      </c>
      <c r="CJ24" s="1189">
        <f>IF(MAX($G$24:CI$24)=0,MIN($H$11:$J$11,$H$14:$J$14,Control!$I$19:$K$19,$H$13:$J$13,$H$12:$J$12),EDATE(CI$24,1))</f>
        <v>47969</v>
      </c>
      <c r="CK24" s="1189">
        <f>IF(MAX($G$24:CJ$24)=0,MIN($H$11:$J$11,$H$14:$J$14,Control!$I$19:$K$19,$H$13:$J$13,$H$12:$J$12),EDATE(CJ$24,1))</f>
        <v>48000</v>
      </c>
      <c r="CL24" s="1189">
        <f>IF(MAX($G$24:CK$24)=0,MIN($H$11:$J$11,$H$14:$J$14,Control!$I$19:$K$19,$H$13:$J$13,$H$12:$J$12),EDATE(CK$24,1))</f>
        <v>48030</v>
      </c>
      <c r="CM24" s="1189">
        <f>IF(MAX($G$24:CL$24)=0,MIN($H$11:$J$11,$H$14:$J$14,Control!$I$19:$K$19,$H$13:$J$13,$H$12:$J$12),EDATE(CL$24,1))</f>
        <v>48061</v>
      </c>
      <c r="CN24" s="1189">
        <f>IF(MAX($G$24:CM$24)=0,MIN($H$11:$J$11,$H$14:$J$14,Control!$I$19:$K$19,$H$13:$J$13,$H$12:$J$12),EDATE(CM$24,1))</f>
        <v>48092</v>
      </c>
      <c r="CO24" s="1189">
        <f>IF(MAX($G$24:CN$24)=0,MIN($H$11:$J$11,$H$14:$J$14,Control!$I$19:$K$19,$H$13:$J$13,$H$12:$J$12),EDATE(CN$24,1))</f>
        <v>48122</v>
      </c>
      <c r="CP24" s="1189">
        <f>IF(MAX($G$24:CO$24)=0,MIN($H$11:$J$11,$H$14:$J$14,Control!$I$19:$K$19,$H$13:$J$13,$H$12:$J$12),EDATE(CO$24,1))</f>
        <v>48153</v>
      </c>
      <c r="CQ24" s="1189">
        <f>IF(MAX($G$24:CP$24)=0,MIN($H$11:$J$11,$H$14:$J$14,Control!$I$19:$K$19,$H$13:$J$13,$H$12:$J$12),EDATE(CP$24,1))</f>
        <v>48183</v>
      </c>
      <c r="CR24" s="1189">
        <f>IF(MAX($G$24:CQ$24)=0,MIN($H$11:$J$11,$H$14:$J$14,Control!$I$19:$K$19,$H$13:$J$13,$H$12:$J$12),EDATE(CQ$24,1))</f>
        <v>48214</v>
      </c>
      <c r="CS24" s="1189">
        <f>IF(MAX($G$24:CR$24)=0,MIN($H$11:$J$11,$H$14:$J$14,Control!$I$19:$K$19,$H$13:$J$13,$H$12:$J$12),EDATE(CR$24,1))</f>
        <v>48245</v>
      </c>
      <c r="CT24" s="1189">
        <f>IF(MAX($G$24:CS$24)=0,MIN($H$11:$J$11,$H$14:$J$14,Control!$I$19:$K$19,$H$13:$J$13,$H$12:$J$12),EDATE(CS$24,1))</f>
        <v>48274</v>
      </c>
      <c r="CU24" s="1189">
        <f>IF(MAX($G$24:CT$24)=0,MIN($H$11:$J$11,$H$14:$J$14,Control!$I$19:$K$19,$H$13:$J$13,$H$12:$J$12),EDATE(CT$24,1))</f>
        <v>48305</v>
      </c>
      <c r="CV24" s="1189">
        <f>IF(MAX($G$24:CU$24)=0,MIN($H$11:$J$11,$H$14:$J$14,Control!$I$19:$K$19,$H$13:$J$13,$H$12:$J$12),EDATE(CU$24,1))</f>
        <v>48335</v>
      </c>
      <c r="CW24" s="1189">
        <f>IF(MAX($G$24:CV$24)=0,MIN($H$11:$J$11,$H$14:$J$14,Control!$I$19:$K$19,$H$13:$J$13,$H$12:$J$12),EDATE(CV$24,1))</f>
        <v>48366</v>
      </c>
      <c r="CX24" s="1189">
        <f>IF(MAX($G$24:CW$24)=0,MIN($H$11:$J$11,$H$14:$J$14,Control!$I$19:$K$19,$H$13:$J$13,$H$12:$J$12),EDATE(CW$24,1))</f>
        <v>48396</v>
      </c>
      <c r="CY24" s="1189">
        <f>IF(MAX($G$24:CX$24)=0,MIN($H$11:$J$11,$H$14:$J$14,Control!$I$19:$K$19,$H$13:$J$13,$H$12:$J$12),EDATE(CX$24,1))</f>
        <v>48427</v>
      </c>
      <c r="CZ24" s="1189">
        <f>IF(MAX($G$24:CY$24)=0,MIN($H$11:$J$11,$H$14:$J$14,Control!$I$19:$K$19,$H$13:$J$13,$H$12:$J$12),EDATE(CY$24,1))</f>
        <v>48458</v>
      </c>
      <c r="DA24" s="1189">
        <f>IF(MAX($G$24:CZ$24)=0,MIN($H$11:$J$11,$H$14:$J$14,Control!$I$19:$K$19,$H$13:$J$13,$H$12:$J$12),EDATE(CZ$24,1))</f>
        <v>48488</v>
      </c>
      <c r="DB24" s="1189">
        <f>IF(MAX($G$24:DA$24)=0,MIN($H$11:$J$11,$H$14:$J$14,Control!$I$19:$K$19,$H$13:$J$13,$H$12:$J$12),EDATE(DA$24,1))</f>
        <v>48519</v>
      </c>
      <c r="DC24" s="1189">
        <f>IF(MAX($G$24:DB$24)=0,MIN($H$11:$J$11,$H$14:$J$14,Control!$I$19:$K$19,$H$13:$J$13,$H$12:$J$12),EDATE(DB$24,1))</f>
        <v>48549</v>
      </c>
      <c r="DD24" s="1189">
        <f>IF(MAX($G$24:DC$24)=0,MIN($H$11:$J$11,$H$14:$J$14,Control!$I$19:$K$19,$H$13:$J$13,$H$12:$J$12),EDATE(DC$24,1))</f>
        <v>48580</v>
      </c>
      <c r="DE24" s="1189">
        <f>IF(MAX($G$24:DD$24)=0,MIN($H$11:$J$11,$H$14:$J$14,Control!$I$19:$K$19,$H$13:$J$13,$H$12:$J$12),EDATE(DD$24,1))</f>
        <v>48611</v>
      </c>
      <c r="DF24" s="1189">
        <f>IF(MAX($G$24:DE$24)=0,MIN($H$11:$J$11,$H$14:$J$14,Control!$I$19:$K$19,$H$13:$J$13,$H$12:$J$12),EDATE(DE$24,1))</f>
        <v>48639</v>
      </c>
      <c r="DG24" s="1189">
        <f>IF(MAX($G$24:DF$24)=0,MIN($H$11:$J$11,$H$14:$J$14,Control!$I$19:$K$19,$H$13:$J$13,$H$12:$J$12),EDATE(DF$24,1))</f>
        <v>48670</v>
      </c>
      <c r="DH24" s="1189">
        <f>IF(MAX($G$24:DG$24)=0,MIN($H$11:$J$11,$H$14:$J$14,Control!$I$19:$K$19,$H$13:$J$13,$H$12:$J$12),EDATE(DG$24,1))</f>
        <v>48700</v>
      </c>
      <c r="DI24" s="1189">
        <f>IF(MAX($G$24:DH$24)=0,MIN($H$11:$J$11,$H$14:$J$14,Control!$I$19:$K$19,$H$13:$J$13,$H$12:$J$12),EDATE(DH$24,1))</f>
        <v>48731</v>
      </c>
      <c r="DJ24" s="1189">
        <f>IF(MAX($G$24:DI$24)=0,MIN($H$11:$J$11,$H$14:$J$14,Control!$I$19:$K$19,$H$13:$J$13,$H$12:$J$12),EDATE(DI$24,1))</f>
        <v>48761</v>
      </c>
      <c r="DK24" s="1189">
        <f>IF(MAX($G$24:DJ$24)=0,MIN($H$11:$J$11,$H$14:$J$14,Control!$I$19:$K$19,$H$13:$J$13,$H$12:$J$12),EDATE(DJ$24,1))</f>
        <v>48792</v>
      </c>
      <c r="DL24" s="1189">
        <f>IF(MAX($G$24:DK$24)=0,MIN($H$11:$J$11,$H$14:$J$14,Control!$I$19:$K$19,$H$13:$J$13,$H$12:$J$12),EDATE(DK$24,1))</f>
        <v>48823</v>
      </c>
      <c r="DM24" s="1189">
        <f>IF(MAX($G$24:DL$24)=0,MIN($H$11:$J$11,$H$14:$J$14,Control!$I$19:$K$19,$H$13:$J$13,$H$12:$J$12),EDATE(DL$24,1))</f>
        <v>48853</v>
      </c>
      <c r="DN24" s="1189">
        <f>IF(MAX($G$24:DM$24)=0,MIN($H$11:$J$11,$H$14:$J$14,Control!$I$19:$K$19,$H$13:$J$13,$H$12:$J$12),EDATE(DM$24,1))</f>
        <v>48884</v>
      </c>
      <c r="DO24" s="1189">
        <f>IF(MAX($G$24:DN$24)=0,MIN($H$11:$J$11,$H$14:$J$14,Control!$I$19:$K$19,$H$13:$J$13,$H$12:$J$12),EDATE(DN$24,1))</f>
        <v>48914</v>
      </c>
      <c r="DP24" s="1189">
        <f>IF(MAX($G$24:DO$24)=0,MIN($H$11:$J$11,$H$14:$J$14,Control!$I$19:$K$19,$H$13:$J$13,$H$12:$J$12),EDATE(DO$24,1))</f>
        <v>48945</v>
      </c>
      <c r="DQ24" s="1189">
        <f>IF(MAX($G$24:DP$24)=0,MIN($H$11:$J$11,$H$14:$J$14,Control!$I$19:$K$19,$H$13:$J$13,$H$12:$J$12),EDATE(DP$24,1))</f>
        <v>48976</v>
      </c>
      <c r="DR24" s="1189">
        <f>IF(MAX($G$24:DQ$24)=0,MIN($H$11:$J$11,$H$14:$J$14,Control!$I$19:$K$19,$H$13:$J$13,$H$12:$J$12),EDATE(DQ$24,1))</f>
        <v>49004</v>
      </c>
      <c r="DS24" s="1189">
        <f>IF(MAX($G$24:DR$24)=0,MIN($H$11:$J$11,$H$14:$J$14,Control!$I$19:$K$19,$H$13:$J$13,$H$12:$J$12),EDATE(DR$24,1))</f>
        <v>49035</v>
      </c>
      <c r="DT24" s="1189">
        <f>IF(MAX($G$24:DS$24)=0,MIN($H$11:$J$11,$H$14:$J$14,Control!$I$19:$K$19,$H$13:$J$13,$H$12:$J$12),EDATE(DS$24,1))</f>
        <v>49065</v>
      </c>
      <c r="DU24" s="1189">
        <f>IF(MAX($G$24:DT$24)=0,MIN($H$11:$J$11,$H$14:$J$14,Control!$I$19:$K$19,$H$13:$J$13,$H$12:$J$12),EDATE(DT$24,1))</f>
        <v>49096</v>
      </c>
      <c r="DV24" s="1189">
        <f>IF(MAX($G$24:DU$24)=0,MIN($H$11:$J$11,$H$14:$J$14,Control!$I$19:$K$19,$H$13:$J$13,$H$12:$J$12),EDATE(DU$24,1))</f>
        <v>49126</v>
      </c>
      <c r="DW24" s="1189">
        <f>IF(MAX($G$24:DV$24)=0,MIN($H$11:$J$11,$H$14:$J$14,Control!$I$19:$K$19,$H$13:$J$13,$H$12:$J$12),EDATE(DV$24,1))</f>
        <v>49157</v>
      </c>
      <c r="DX24" s="1189">
        <f>IF(MAX($G$24:DW$24)=0,MIN($H$11:$J$11,$H$14:$J$14,Control!$I$19:$K$19,$H$13:$J$13,$H$12:$J$12),EDATE(DW$24,1))</f>
        <v>49188</v>
      </c>
      <c r="DY24" s="1189">
        <f>IF(MAX($G$24:DX$24)=0,MIN($H$11:$J$11,$H$14:$J$14,Control!$I$19:$K$19,$H$13:$J$13,$H$12:$J$12),EDATE(DX$24,1))</f>
        <v>49218</v>
      </c>
      <c r="DZ24" s="1189">
        <f>IF(MAX($G$24:DY$24)=0,MIN($H$11:$J$11,$H$14:$J$14,Control!$I$19:$K$19,$H$13:$J$13,$H$12:$J$12),EDATE(DY$24,1))</f>
        <v>49249</v>
      </c>
      <c r="EA24" s="1189">
        <f>IF(MAX($G$24:DZ$24)=0,MIN($H$11:$J$11,$H$14:$J$14,Control!$I$19:$K$19,$H$13:$J$13,$H$12:$J$12),EDATE(DZ$24,1))</f>
        <v>49279</v>
      </c>
      <c r="EB24" s="1189">
        <f>IF(MAX($G$24:EA$24)=0,MIN($H$11:$J$11,$H$14:$J$14,Control!$I$19:$K$19,$H$13:$J$13,$H$12:$J$12),EDATE(EA$24,1))</f>
        <v>49310</v>
      </c>
      <c r="EC24" s="1189">
        <f>IF(MAX($G$24:EB$24)=0,MIN($H$11:$J$11,$H$14:$J$14,Control!$I$19:$K$19,$H$13:$J$13,$H$12:$J$12),EDATE(EB$24,1))</f>
        <v>49341</v>
      </c>
      <c r="ED24" s="1189">
        <f>IF(MAX($G$24:EC$24)=0,MIN($H$11:$J$11,$H$14:$J$14,Control!$I$19:$K$19,$H$13:$J$13,$H$12:$J$12),EDATE(EC$24,1))</f>
        <v>49369</v>
      </c>
      <c r="EE24" s="1189">
        <f>IF(MAX($G$24:ED$24)=0,MIN($H$11:$J$11,$H$14:$J$14,Control!$I$19:$K$19,$H$13:$J$13,$H$12:$J$12),EDATE(ED$24,1))</f>
        <v>49400</v>
      </c>
      <c r="EF24" s="1189">
        <f>IF(MAX($G$24:EE$24)=0,MIN($H$11:$J$11,$H$14:$J$14,Control!$I$19:$K$19,$H$13:$J$13,$H$12:$J$12),EDATE(EE$24,1))</f>
        <v>49430</v>
      </c>
      <c r="EG24" s="1189">
        <f>IF(MAX($G$24:EF$24)=0,MIN($H$11:$J$11,$H$14:$J$14,Control!$I$19:$K$19,$H$13:$J$13,$H$12:$J$12),EDATE(EF$24,1))</f>
        <v>49461</v>
      </c>
      <c r="EH24" s="1189">
        <f>IF(MAX($G$24:EG$24)=0,MIN($H$11:$J$11,$H$14:$J$14,Control!$I$19:$K$19,$H$13:$J$13,$H$12:$J$12),EDATE(EG$24,1))</f>
        <v>49491</v>
      </c>
      <c r="EI24" s="1189">
        <f>IF(MAX($G$24:EH$24)=0,MIN($H$11:$J$11,$H$14:$J$14,Control!$I$19:$K$19,$H$13:$J$13,$H$12:$J$12),EDATE(EH$24,1))</f>
        <v>49522</v>
      </c>
      <c r="EJ24" s="1189">
        <f>IF(MAX($G$24:EI$24)=0,MIN($H$11:$J$11,$H$14:$J$14,Control!$I$19:$K$19,$H$13:$J$13,$H$12:$J$12),EDATE(EI$24,1))</f>
        <v>49553</v>
      </c>
      <c r="EK24" s="1189">
        <f>IF(MAX($G$24:EJ$24)=0,MIN($H$11:$J$11,$H$14:$J$14,Control!$I$19:$K$19,$H$13:$J$13,$H$12:$J$12),EDATE(EJ$24,1))</f>
        <v>49583</v>
      </c>
      <c r="EL24" s="1189">
        <f>IF(MAX($G$24:EK$24)=0,MIN($H$11:$J$11,$H$14:$J$14,Control!$I$19:$K$19,$H$13:$J$13,$H$12:$J$12),EDATE(EK$24,1))</f>
        <v>49614</v>
      </c>
      <c r="EM24" s="1189">
        <f>IF(MAX($G$24:EL$24)=0,MIN($H$11:$J$11,$H$14:$J$14,Control!$I$19:$K$19,$H$13:$J$13,$H$12:$J$12),EDATE(EL$24,1))</f>
        <v>49644</v>
      </c>
      <c r="EN24" s="1189">
        <f>IF(MAX($G$24:EM$24)=0,MIN($H$11:$J$11,$H$14:$J$14,Control!$I$19:$K$19,$H$13:$J$13,$H$12:$J$12),EDATE(EM$24,1))</f>
        <v>49675</v>
      </c>
      <c r="EO24" s="1189">
        <f>IF(MAX($G$24:EN$24)=0,MIN($H$11:$J$11,$H$14:$J$14,Control!$I$19:$K$19,$H$13:$J$13,$H$12:$J$12),EDATE(EN$24,1))</f>
        <v>49706</v>
      </c>
      <c r="EP24" s="1189">
        <f>IF(MAX($G$24:EO$24)=0,MIN($H$11:$J$11,$H$14:$J$14,Control!$I$19:$K$19,$H$13:$J$13,$H$12:$J$12),EDATE(EO$24,1))</f>
        <v>49735</v>
      </c>
      <c r="EQ24" s="1189">
        <f>IF(MAX($G$24:EP$24)=0,MIN($H$11:$J$11,$H$14:$J$14,Control!$I$19:$K$19,$H$13:$J$13,$H$12:$J$12),EDATE(EP$24,1))</f>
        <v>49766</v>
      </c>
      <c r="ER24" s="1189">
        <f>IF(MAX($G$24:EQ$24)=0,MIN($H$11:$J$11,$H$14:$J$14,Control!$I$19:$K$19,$H$13:$J$13,$H$12:$J$12),EDATE(EQ$24,1))</f>
        <v>49796</v>
      </c>
      <c r="ES24" s="1189">
        <f>IF(MAX($G$24:ER$24)=0,MIN($H$11:$J$11,$H$14:$J$14,Control!$I$19:$K$19,$H$13:$J$13,$H$12:$J$12),EDATE(ER$24,1))</f>
        <v>49827</v>
      </c>
      <c r="ET24" s="1189">
        <f>IF(MAX($G$24:ES$24)=0,MIN($H$11:$J$11,$H$14:$J$14,Control!$I$19:$K$19,$H$13:$J$13,$H$12:$J$12),EDATE(ES$24,1))</f>
        <v>49857</v>
      </c>
      <c r="EU24" s="1189">
        <f>IF(MAX($G$24:ET$24)=0,MIN($H$11:$J$11,$H$14:$J$14,Control!$I$19:$K$19,$H$13:$J$13,$H$12:$J$12),EDATE(ET$24,1))</f>
        <v>49888</v>
      </c>
      <c r="EV24" s="1189">
        <f>IF(MAX($G$24:EU$24)=0,MIN($H$11:$J$11,$H$14:$J$14,Control!$I$19:$K$19,$H$13:$J$13,$H$12:$J$12),EDATE(EU$24,1))</f>
        <v>49919</v>
      </c>
      <c r="EW24" s="1189">
        <f>IF(MAX($G$24:EV$24)=0,MIN($H$11:$J$11,$H$14:$J$14,Control!$I$19:$K$19,$H$13:$J$13,$H$12:$J$12),EDATE(EV$24,1))</f>
        <v>49949</v>
      </c>
      <c r="EX24" s="1189">
        <f>IF(MAX($G$24:EW$24)=0,MIN($H$11:$J$11,$H$14:$J$14,Control!$I$19:$K$19,$H$13:$J$13,$H$12:$J$12),EDATE(EW$24,1))</f>
        <v>49980</v>
      </c>
      <c r="EY24" s="1189">
        <f>IF(MAX($G$24:EX$24)=0,MIN($H$11:$J$11,$H$14:$J$14,Control!$I$19:$K$19,$H$13:$J$13,$H$12:$J$12),EDATE(EX$24,1))</f>
        <v>50010</v>
      </c>
      <c r="EZ24" s="1189">
        <f>IF(MAX($G$24:EY$24)=0,MIN($H$11:$J$11,$H$14:$J$14,Control!$I$19:$K$19,$H$13:$J$13,$H$12:$J$12),EDATE(EY$24,1))</f>
        <v>50041</v>
      </c>
      <c r="FA24" s="1189">
        <f>IF(MAX($G$24:EZ$24)=0,MIN($H$11:$J$11,$H$14:$J$14,Control!$I$19:$K$19,$H$13:$J$13,$H$12:$J$12),EDATE(EZ$24,1))</f>
        <v>50072</v>
      </c>
      <c r="FB24" s="1189">
        <f>IF(MAX($G$24:FA$24)=0,MIN($H$11:$J$11,$H$14:$J$14,Control!$I$19:$K$19,$H$13:$J$13,$H$12:$J$12),EDATE(FA$24,1))</f>
        <v>50100</v>
      </c>
      <c r="FC24" s="1189">
        <f>IF(MAX($G$24:FB$24)=0,MIN($H$11:$J$11,$H$14:$J$14,Control!$I$19:$K$19,$H$13:$J$13,$H$12:$J$12),EDATE(FB$24,1))</f>
        <v>50131</v>
      </c>
      <c r="FD24" s="1189">
        <f>IF(MAX($G$24:FC$24)=0,MIN($H$11:$J$11,$H$14:$J$14,Control!$I$19:$K$19,$H$13:$J$13,$H$12:$J$12),EDATE(FC$24,1))</f>
        <v>50161</v>
      </c>
      <c r="FE24" s="1189">
        <f>IF(MAX($G$24:FD$24)=0,MIN($H$11:$J$11,$H$14:$J$14,Control!$I$19:$K$19,$H$13:$J$13,$H$12:$J$12),EDATE(FD$24,1))</f>
        <v>50192</v>
      </c>
      <c r="FF24" s="1189">
        <f>IF(MAX($G$24:FE$24)=0,MIN($H$11:$J$11,$H$14:$J$14,Control!$I$19:$K$19,$H$13:$J$13,$H$12:$J$12),EDATE(FE$24,1))</f>
        <v>50222</v>
      </c>
      <c r="FG24" s="1189">
        <f>IF(MAX($G$24:FF$24)=0,MIN($H$11:$J$11,$H$14:$J$14,Control!$I$19:$K$19,$H$13:$J$13,$H$12:$J$12),EDATE(FF$24,1))</f>
        <v>50253</v>
      </c>
      <c r="FH24" s="1189">
        <f>IF(MAX($G$24:FG$24)=0,MIN($H$11:$J$11,$H$14:$J$14,Control!$I$19:$K$19,$H$13:$J$13,$H$12:$J$12),EDATE(FG$24,1))</f>
        <v>50284</v>
      </c>
      <c r="FI24" s="1189">
        <f>IF(MAX($G$24:FH$24)=0,MIN($H$11:$J$11,$H$14:$J$14,Control!$I$19:$K$19,$H$13:$J$13,$H$12:$J$12),EDATE(FH$24,1))</f>
        <v>50314</v>
      </c>
      <c r="FJ24" s="1189">
        <f>IF(MAX($G$24:FI$24)=0,MIN($H$11:$J$11,$H$14:$J$14,Control!$I$19:$K$19,$H$13:$J$13,$H$12:$J$12),EDATE(FI$24,1))</f>
        <v>50345</v>
      </c>
      <c r="FK24" s="1189">
        <f>IF(MAX($G$24:FJ$24)=0,MIN($H$11:$J$11,$H$14:$J$14,Control!$I$19:$K$19,$H$13:$J$13,$H$12:$J$12),EDATE(FJ$24,1))</f>
        <v>50375</v>
      </c>
      <c r="FL24" s="1189">
        <f>IF(MAX($G$24:FK$24)=0,MIN($H$11:$J$11,$H$14:$J$14,Control!$I$19:$K$19,$H$13:$J$13,$H$12:$J$12),EDATE(FK$24,1))</f>
        <v>50406</v>
      </c>
      <c r="FM24" s="1189">
        <f>IF(MAX($G$24:FL$24)=0,MIN($H$11:$J$11,$H$14:$J$14,Control!$I$19:$K$19,$H$13:$J$13,$H$12:$J$12),EDATE(FL$24,1))</f>
        <v>50437</v>
      </c>
      <c r="FN24" s="1189">
        <f>IF(MAX($G$24:FM$24)=0,MIN($H$11:$J$11,$H$14:$J$14,Control!$I$19:$K$19,$H$13:$J$13,$H$12:$J$12),EDATE(FM$24,1))</f>
        <v>50465</v>
      </c>
      <c r="FO24" s="1189">
        <f>IF(MAX($G$24:FN$24)=0,MIN($H$11:$J$11,$H$14:$J$14,Control!$I$19:$K$19,$H$13:$J$13,$H$12:$J$12),EDATE(FN$24,1))</f>
        <v>50496</v>
      </c>
      <c r="FP24" s="1189">
        <f>IF(MAX($G$24:FO$24)=0,MIN($H$11:$J$11,$H$14:$J$14,Control!$I$19:$K$19,$H$13:$J$13,$H$12:$J$12),EDATE(FO$24,1))</f>
        <v>50526</v>
      </c>
      <c r="FQ24" s="1189">
        <f>IF(MAX($G$24:FP$24)=0,MIN($H$11:$J$11,$H$14:$J$14,Control!$I$19:$K$19,$H$13:$J$13,$H$12:$J$12),EDATE(FP$24,1))</f>
        <v>50557</v>
      </c>
      <c r="FR24" s="1189">
        <f>IF(MAX($G$24:FQ$24)=0,MIN($H$11:$J$11,$H$14:$J$14,Control!$I$19:$K$19,$H$13:$J$13,$H$12:$J$12),EDATE(FQ$24,1))</f>
        <v>50587</v>
      </c>
      <c r="FS24" s="1189">
        <f>IF(MAX($G$24:FR$24)=0,MIN($H$11:$J$11,$H$14:$J$14,Control!$I$19:$K$19,$H$13:$J$13,$H$12:$J$12),EDATE(FR$24,1))</f>
        <v>50618</v>
      </c>
      <c r="FT24" s="1189">
        <f>IF(MAX($G$24:FS$24)=0,MIN($H$11:$J$11,$H$14:$J$14,Control!$I$19:$K$19,$H$13:$J$13,$H$12:$J$12),EDATE(FS$24,1))</f>
        <v>50649</v>
      </c>
      <c r="FU24" s="1189">
        <f>IF(MAX($G$24:FT$24)=0,MIN($H$11:$J$11,$H$14:$J$14,Control!$I$19:$K$19,$H$13:$J$13,$H$12:$J$12),EDATE(FT$24,1))</f>
        <v>50679</v>
      </c>
      <c r="FV24" s="1189">
        <f>IF(MAX($G$24:FU$24)=0,MIN($H$11:$J$11,$H$14:$J$14,Control!$I$19:$K$19,$H$13:$J$13,$H$12:$J$12),EDATE(FU$24,1))</f>
        <v>50710</v>
      </c>
      <c r="FW24" s="1189">
        <f>IF(MAX($G$24:FV$24)=0,MIN($H$11:$J$11,$H$14:$J$14,Control!$I$19:$K$19,$H$13:$J$13,$H$12:$J$12),EDATE(FV$24,1))</f>
        <v>50740</v>
      </c>
      <c r="FX24" s="1189">
        <f>IF(MAX($G$24:FW$24)=0,MIN($H$11:$J$11,$H$14:$J$14,Control!$I$19:$K$19,$H$13:$J$13,$H$12:$J$12),EDATE(FW$24,1))</f>
        <v>50771</v>
      </c>
      <c r="FY24" s="1189">
        <f>IF(MAX($G$24:FX$24)=0,MIN($H$11:$J$11,$H$14:$J$14,Control!$I$19:$K$19,$H$13:$J$13,$H$12:$J$12),EDATE(FX$24,1))</f>
        <v>50802</v>
      </c>
      <c r="FZ24" s="1189">
        <f>IF(MAX($G$24:FY$24)=0,MIN($H$11:$J$11,$H$14:$J$14,Control!$I$19:$K$19,$H$13:$J$13,$H$12:$J$12),EDATE(FY$24,1))</f>
        <v>50830</v>
      </c>
      <c r="GA24" s="1189">
        <f>IF(MAX($G$24:FZ$24)=0,MIN($H$11:$J$11,$H$14:$J$14,Control!$I$19:$K$19,$H$13:$J$13,$H$12:$J$12),EDATE(FZ$24,1))</f>
        <v>50861</v>
      </c>
      <c r="GB24" s="1189">
        <f>IF(MAX($G$24:GA$24)=0,MIN($H$11:$J$11,$H$14:$J$14,Control!$I$19:$K$19,$H$13:$J$13,$H$12:$J$12),EDATE(GA$24,1))</f>
        <v>50891</v>
      </c>
      <c r="GC24" s="1189">
        <f>IF(MAX($G$24:GB$24)=0,MIN($H$11:$J$11,$H$14:$J$14,Control!$I$19:$K$19,$H$13:$J$13,$H$12:$J$12),EDATE(GB$24,1))</f>
        <v>50922</v>
      </c>
      <c r="GD24" s="1189">
        <f>IF(MAX($G$24:GC$24)=0,MIN($H$11:$J$11,$H$14:$J$14,Control!$I$19:$K$19,$H$13:$J$13,$H$12:$J$12),EDATE(GC$24,1))</f>
        <v>50952</v>
      </c>
      <c r="GE24" s="1189">
        <f>IF(MAX($G$24:GD$24)=0,MIN($H$11:$J$11,$H$14:$J$14,Control!$I$19:$K$19,$H$13:$J$13,$H$12:$J$12),EDATE(GD$24,1))</f>
        <v>50983</v>
      </c>
      <c r="GF24" s="1189">
        <f>IF(MAX($G$24:GE$24)=0,MIN($H$11:$J$11,$H$14:$J$14,Control!$I$19:$K$19,$H$13:$J$13,$H$12:$J$12),EDATE(GE$24,1))</f>
        <v>51014</v>
      </c>
      <c r="GG24" s="1189">
        <f>IF(MAX($G$24:GF$24)=0,MIN($H$11:$J$11,$H$14:$J$14,Control!$I$19:$K$19,$H$13:$J$13,$H$12:$J$12),EDATE(GF$24,1))</f>
        <v>51044</v>
      </c>
      <c r="GH24" s="1189">
        <f>IF(MAX($G$24:GG$24)=0,MIN($H$11:$J$11,$H$14:$J$14,Control!$I$19:$K$19,$H$13:$J$13,$H$12:$J$12),EDATE(GG$24,1))</f>
        <v>51075</v>
      </c>
      <c r="GI24" s="1189">
        <f>IF(MAX($G$24:GH$24)=0,MIN($H$11:$J$11,$H$14:$J$14,Control!$I$19:$K$19,$H$13:$J$13,$H$12:$J$12),EDATE(GH$24,1))</f>
        <v>51105</v>
      </c>
      <c r="GJ24" s="1189">
        <f>IF(MAX($G$24:GI$24)=0,MIN($H$11:$J$11,$H$14:$J$14,Control!$I$19:$K$19,$H$13:$J$13,$H$12:$J$12),EDATE(GI$24,1))</f>
        <v>51136</v>
      </c>
      <c r="GK24" s="1189">
        <f>IF(MAX($G$24:GJ$24)=0,MIN($H$11:$J$11,$H$14:$J$14,Control!$I$19:$K$19,$H$13:$J$13,$H$12:$J$12),EDATE(GJ$24,1))</f>
        <v>51167</v>
      </c>
      <c r="GL24" s="1189">
        <f>IF(MAX($G$24:GK$24)=0,MIN($H$11:$J$11,$H$14:$J$14,Control!$I$19:$K$19,$H$13:$J$13,$H$12:$J$12),EDATE(GK$24,1))</f>
        <v>51196</v>
      </c>
      <c r="GM24" s="1189">
        <f>IF(MAX($G$24:GL$24)=0,MIN($H$11:$J$11,$H$14:$J$14,Control!$I$19:$K$19,$H$13:$J$13,$H$12:$J$12),EDATE(GL$24,1))</f>
        <v>51227</v>
      </c>
      <c r="GN24" s="1189">
        <f>IF(MAX($G$24:GM$24)=0,MIN($H$11:$J$11,$H$14:$J$14,Control!$I$19:$K$19,$H$13:$J$13,$H$12:$J$12),EDATE(GM$24,1))</f>
        <v>51257</v>
      </c>
      <c r="GO24" s="1189">
        <f>IF(MAX($G$24:GN$24)=0,MIN($H$11:$J$11,$H$14:$J$14,Control!$I$19:$K$19,$H$13:$J$13,$H$12:$J$12),EDATE(GN$24,1))</f>
        <v>51288</v>
      </c>
      <c r="GP24" s="1189">
        <f>IF(MAX($G$24:GO$24)=0,MIN($H$11:$J$11,$H$14:$J$14,Control!$I$19:$K$19,$H$13:$J$13,$H$12:$J$12),EDATE(GO$24,1))</f>
        <v>51318</v>
      </c>
      <c r="GQ24" s="1189">
        <f>IF(MAX($G$24:GP$24)=0,MIN($H$11:$J$11,$H$14:$J$14,Control!$I$19:$K$19,$H$13:$J$13,$H$12:$J$12),EDATE(GP$24,1))</f>
        <v>51349</v>
      </c>
      <c r="GR24" s="1189">
        <f>IF(MAX($G$24:GQ$24)=0,MIN($H$11:$J$11,$H$14:$J$14,Control!$I$19:$K$19,$H$13:$J$13,$H$12:$J$12),EDATE(GQ$24,1))</f>
        <v>51380</v>
      </c>
      <c r="GS24" s="1189">
        <f>IF(MAX($G$24:GR$24)=0,MIN($H$11:$J$11,$H$14:$J$14,Control!$I$19:$K$19,$H$13:$J$13,$H$12:$J$12),EDATE(GR$24,1))</f>
        <v>51410</v>
      </c>
      <c r="GT24" s="1189">
        <f>IF(MAX($G$24:GS$24)=0,MIN($H$11:$J$11,$H$14:$J$14,Control!$I$19:$K$19,$H$13:$J$13,$H$12:$J$12),EDATE(GS$24,1))</f>
        <v>51441</v>
      </c>
      <c r="GU24" s="1189">
        <f>IF(MAX($G$24:GT$24)=0,MIN($H$11:$J$11,$H$14:$J$14,Control!$I$19:$K$19,$H$13:$J$13,$H$12:$J$12),EDATE(GT$24,1))</f>
        <v>51471</v>
      </c>
      <c r="GV24" s="1189">
        <f>IF(MAX($G$24:GU$24)=0,MIN($H$11:$J$11,$H$14:$J$14,Control!$I$19:$K$19,$H$13:$J$13,$H$12:$J$12),EDATE(GU$24,1))</f>
        <v>51502</v>
      </c>
      <c r="GW24" s="1189">
        <f>IF(MAX($G$24:GV$24)=0,MIN($H$11:$J$11,$H$14:$J$14,Control!$I$19:$K$19,$H$13:$J$13,$H$12:$J$12),EDATE(GV$24,1))</f>
        <v>51533</v>
      </c>
      <c r="GX24" s="1189">
        <f>IF(MAX($G$24:GW$24)=0,MIN($H$11:$J$11,$H$14:$J$14,Control!$I$19:$K$19,$H$13:$J$13,$H$12:$J$12),EDATE(GW$24,1))</f>
        <v>51561</v>
      </c>
      <c r="GY24" s="1189">
        <f>IF(MAX($G$24:GX$24)=0,MIN($H$11:$J$11,$H$14:$J$14,Control!$I$19:$K$19,$H$13:$J$13,$H$12:$J$12),EDATE(GX$24,1))</f>
        <v>51592</v>
      </c>
      <c r="GZ24" s="1189">
        <f>IF(MAX($G$24:GY$24)=0,MIN($H$11:$J$11,$H$14:$J$14,Control!$I$19:$K$19,$H$13:$J$13,$H$12:$J$12),EDATE(GY$24,1))</f>
        <v>51622</v>
      </c>
      <c r="HA24" s="1189">
        <f>IF(MAX($G$24:GZ$24)=0,MIN($H$11:$J$11,$H$14:$J$14,Control!$I$19:$K$19,$H$13:$J$13,$H$12:$J$12),EDATE(GZ$24,1))</f>
        <v>51653</v>
      </c>
      <c r="HB24" s="1189">
        <f>IF(MAX($G$24:HA$24)=0,MIN($H$11:$J$11,$H$14:$J$14,Control!$I$19:$K$19,$H$13:$J$13,$H$12:$J$12),EDATE(HA$24,1))</f>
        <v>51683</v>
      </c>
      <c r="HC24" s="1189">
        <f>IF(MAX($G$24:HB$24)=0,MIN($H$11:$J$11,$H$14:$J$14,Control!$I$19:$K$19,$H$13:$J$13,$H$12:$J$12),EDATE(HB$24,1))</f>
        <v>51714</v>
      </c>
      <c r="HD24" s="1189">
        <f>IF(MAX($G$24:HC$24)=0,MIN($H$11:$J$11,$H$14:$J$14,Control!$I$19:$K$19,$H$13:$J$13,$H$12:$J$12),EDATE(HC$24,1))</f>
        <v>51745</v>
      </c>
      <c r="HE24" s="1189">
        <f>IF(MAX($G$24:HD$24)=0,MIN($H$11:$J$11,$H$14:$J$14,Control!$I$19:$K$19,$H$13:$J$13,$H$12:$J$12),EDATE(HD$24,1))</f>
        <v>51775</v>
      </c>
      <c r="HF24" s="1189">
        <f>IF(MAX($G$24:HE$24)=0,MIN($H$11:$J$11,$H$14:$J$14,Control!$I$19:$K$19,$H$13:$J$13,$H$12:$J$12),EDATE(HE$24,1))</f>
        <v>51806</v>
      </c>
      <c r="HG24" s="1189">
        <f>IF(MAX($G$24:HF$24)=0,MIN($H$11:$J$11,$H$14:$J$14,Control!$I$19:$K$19,$H$13:$J$13,$H$12:$J$12),EDATE(HF$24,1))</f>
        <v>51836</v>
      </c>
      <c r="HH24" s="1189">
        <f>IF(MAX($G$24:HG$24)=0,MIN($H$11:$J$11,$H$14:$J$14,Control!$I$19:$K$19,$H$13:$J$13,$H$12:$J$12),EDATE(HG$24,1))</f>
        <v>51867</v>
      </c>
      <c r="HI24" s="1189">
        <f>IF(MAX($G$24:HH$24)=0,MIN($H$11:$J$11,$H$14:$J$14,Control!$I$19:$K$19,$H$13:$J$13,$H$12:$J$12),EDATE(HH$24,1))</f>
        <v>51898</v>
      </c>
      <c r="HJ24" s="1189">
        <f>IF(MAX($G$24:HI$24)=0,MIN($H$11:$J$11,$H$14:$J$14,Control!$I$19:$K$19,$H$13:$J$13,$H$12:$J$12),EDATE(HI$24,1))</f>
        <v>51926</v>
      </c>
      <c r="HK24" s="1189">
        <f>IF(MAX($G$24:HJ$24)=0,MIN($H$11:$J$11,$H$14:$J$14,Control!$I$19:$K$19,$H$13:$J$13,$H$12:$J$12),EDATE(HJ$24,1))</f>
        <v>51957</v>
      </c>
      <c r="HL24" s="1189">
        <f>IF(MAX($G$24:HK$24)=0,MIN($H$11:$J$11,$H$14:$J$14,Control!$I$19:$K$19,$H$13:$J$13,$H$12:$J$12),EDATE(HK$24,1))</f>
        <v>51987</v>
      </c>
      <c r="HM24" s="1189">
        <f>IF(MAX($G$24:HL$24)=0,MIN($H$11:$J$11,$H$14:$J$14,Control!$I$19:$K$19,$H$13:$J$13,$H$12:$J$12),EDATE(HL$24,1))</f>
        <v>52018</v>
      </c>
      <c r="HN24" s="1189">
        <f>IF(MAX($G$24:HM$24)=0,MIN($H$11:$J$11,$H$14:$J$14,Control!$I$19:$K$19,$H$13:$J$13,$H$12:$J$12),EDATE(HM$24,1))</f>
        <v>52048</v>
      </c>
      <c r="HO24" s="1189">
        <f>IF(MAX($G$24:HN$24)=0,MIN($H$11:$J$11,$H$14:$J$14,Control!$I$19:$K$19,$H$13:$J$13,$H$12:$J$12),EDATE(HN$24,1))</f>
        <v>52079</v>
      </c>
      <c r="HP24" s="1189">
        <f>IF(MAX($G$24:HO$24)=0,MIN($H$11:$J$11,$H$14:$J$14,Control!$I$19:$K$19,$H$13:$J$13,$H$12:$J$12),EDATE(HO$24,1))</f>
        <v>52110</v>
      </c>
      <c r="HQ24" s="1189">
        <f>IF(MAX($G$24:HP$24)=0,MIN($H$11:$J$11,$H$14:$J$14,Control!$I$19:$K$19,$H$13:$J$13,$H$12:$J$12),EDATE(HP$24,1))</f>
        <v>52140</v>
      </c>
      <c r="HR24" s="1189">
        <f>IF(MAX($G$24:HQ$24)=0,MIN($H$11:$J$11,$H$14:$J$14,Control!$I$19:$K$19,$H$13:$J$13,$H$12:$J$12),EDATE(HQ$24,1))</f>
        <v>52171</v>
      </c>
      <c r="HS24" s="1189">
        <f>IF(MAX($G$24:HR$24)=0,MIN($H$11:$J$11,$H$14:$J$14,Control!$I$19:$K$19,$H$13:$J$13,$H$12:$J$12),EDATE(HR$24,1))</f>
        <v>52201</v>
      </c>
      <c r="HT24" s="1189">
        <f>IF(MAX($G$24:HS$24)=0,MIN($H$11:$J$11,$H$14:$J$14,Control!$I$19:$K$19,$H$13:$J$13,$H$12:$J$12),EDATE(HS$24,1))</f>
        <v>52232</v>
      </c>
      <c r="HU24" s="1189">
        <f>IF(MAX($G$24:HT$24)=0,MIN($H$11:$J$11,$H$14:$J$14,Control!$I$19:$K$19,$H$13:$J$13,$H$12:$J$12),EDATE(HT$24,1))</f>
        <v>52263</v>
      </c>
      <c r="HV24" s="1189">
        <f>IF(MAX($G$24:HU$24)=0,MIN($H$11:$J$11,$H$14:$J$14,Control!$I$19:$K$19,$H$13:$J$13,$H$12:$J$12),EDATE(HU$24,1))</f>
        <v>52291</v>
      </c>
      <c r="HW24" s="1189">
        <f>IF(MAX($G$24:HV$24)=0,MIN($H$11:$J$11,$H$14:$J$14,Control!$I$19:$K$19,$H$13:$J$13,$H$12:$J$12),EDATE(HV$24,1))</f>
        <v>52322</v>
      </c>
      <c r="HX24" s="1189">
        <f>IF(MAX($G$24:HW$24)=0,MIN($H$11:$J$11,$H$14:$J$14,Control!$I$19:$K$19,$H$13:$J$13,$H$12:$J$12),EDATE(HW$24,1))</f>
        <v>52352</v>
      </c>
      <c r="HY24" s="1189">
        <f>IF(MAX($G$24:HX$24)=0,MIN($H$11:$J$11,$H$14:$J$14,Control!$I$19:$K$19,$H$13:$J$13,$H$12:$J$12),EDATE(HX$24,1))</f>
        <v>52383</v>
      </c>
      <c r="HZ24" s="1189">
        <f>IF(MAX($G$24:HY$24)=0,MIN($H$11:$J$11,$H$14:$J$14,Control!$I$19:$K$19,$H$13:$J$13,$H$12:$J$12),EDATE(HY$24,1))</f>
        <v>52413</v>
      </c>
      <c r="IA24" s="1189">
        <f>IF(MAX($G$24:HZ$24)=0,MIN($H$11:$J$11,$H$14:$J$14,Control!$I$19:$K$19,$H$13:$J$13,$H$12:$J$12),EDATE(HZ$24,1))</f>
        <v>52444</v>
      </c>
      <c r="IB24" s="1189">
        <f>IF(MAX($G$24:IA$24)=0,MIN($H$11:$J$11,$H$14:$J$14,Control!$I$19:$K$19,$H$13:$J$13,$H$12:$J$12),EDATE(IA$24,1))</f>
        <v>52475</v>
      </c>
      <c r="IC24" s="1189">
        <f>IF(MAX($G$24:IB$24)=0,MIN($H$11:$J$11,$H$14:$J$14,Control!$I$19:$K$19,$H$13:$J$13,$H$12:$J$12),EDATE(IB$24,1))</f>
        <v>52505</v>
      </c>
      <c r="ID24" s="1189">
        <f>IF(MAX($G$24:IC$24)=0,MIN($H$11:$J$11,$H$14:$J$14,Control!$I$19:$K$19,$H$13:$J$13,$H$12:$J$12),EDATE(IC$24,1))</f>
        <v>52536</v>
      </c>
      <c r="IE24" s="1189">
        <f>IF(MAX($G$24:ID$24)=0,MIN($H$11:$J$11,$H$14:$J$14,Control!$I$19:$K$19,$H$13:$J$13,$H$12:$J$12),EDATE(ID$24,1))</f>
        <v>52566</v>
      </c>
      <c r="IF24" s="1189">
        <f>IF(MAX($G$24:IE$24)=0,MIN($H$11:$J$11,$H$14:$J$14,Control!$I$19:$K$19,$H$13:$J$13,$H$12:$J$12),EDATE(IE$24,1))</f>
        <v>52597</v>
      </c>
      <c r="IG24" s="1189">
        <f>IF(MAX($G$24:IF$24)=0,MIN($H$11:$J$11,$H$14:$J$14,Control!$I$19:$K$19,$H$13:$J$13,$H$12:$J$12),EDATE(IF$24,1))</f>
        <v>52628</v>
      </c>
      <c r="IH24" s="1189">
        <f>IF(MAX($G$24:IG$24)=0,MIN($H$11:$J$11,$H$14:$J$14,Control!$I$19:$K$19,$H$13:$J$13,$H$12:$J$12),EDATE(IG$24,1))</f>
        <v>52657</v>
      </c>
      <c r="II24" s="1189">
        <f>IF(MAX($G$24:IH$24)=0,MIN($H$11:$J$11,$H$14:$J$14,Control!$I$19:$K$19,$H$13:$J$13,$H$12:$J$12),EDATE(IH$24,1))</f>
        <v>52688</v>
      </c>
      <c r="IJ24" s="1189">
        <f>IF(MAX($G$24:II$24)=0,MIN($H$11:$J$11,$H$14:$J$14,Control!$I$19:$K$19,$H$13:$J$13,$H$12:$J$12),EDATE(II$24,1))</f>
        <v>52718</v>
      </c>
      <c r="IK24" s="1189">
        <f>IF(MAX($G$24:IJ$24)=0,MIN($H$11:$J$11,$H$14:$J$14,Control!$I$19:$K$19,$H$13:$J$13,$H$12:$J$12),EDATE(IJ$24,1))</f>
        <v>52749</v>
      </c>
      <c r="IL24" s="1189">
        <f>IF(MAX($G$24:IK$24)=0,MIN($H$11:$J$11,$H$14:$J$14,Control!$I$19:$K$19,$H$13:$J$13,$H$12:$J$12),EDATE(IK$24,1))</f>
        <v>52779</v>
      </c>
      <c r="IM24" s="1189">
        <f>IF(MAX($G$24:IL$24)=0,MIN($H$11:$J$11,$H$14:$J$14,Control!$I$19:$K$19,$H$13:$J$13,$H$12:$J$12),EDATE(IL$24,1))</f>
        <v>52810</v>
      </c>
      <c r="IN24" s="1189">
        <f>IF(MAX($G$24:IM$24)=0,MIN($H$11:$J$11,$H$14:$J$14,Control!$I$19:$K$19,$H$13:$J$13,$H$12:$J$12),EDATE(IM$24,1))</f>
        <v>52841</v>
      </c>
      <c r="IO24" s="1189">
        <f>IF(MAX($G$24:IN$24)=0,MIN($H$11:$J$11,$H$14:$J$14,Control!$I$19:$K$19,$H$13:$J$13,$H$12:$J$12),EDATE(IN$24,1))</f>
        <v>52871</v>
      </c>
      <c r="IP24" s="1189">
        <f>IF(MAX($G$24:IO$24)=0,MIN($H$11:$J$11,$H$14:$J$14,Control!$I$19:$K$19,$H$13:$J$13,$H$12:$J$12),EDATE(IO$24,1))</f>
        <v>52902</v>
      </c>
      <c r="IQ24" s="1189">
        <f>IF(MAX($G$24:IP$24)=0,MIN($H$11:$J$11,$H$14:$J$14,Control!$I$19:$K$19,$H$13:$J$13,$H$12:$J$12),EDATE(IP$24,1))</f>
        <v>52932</v>
      </c>
      <c r="IR24" s="1189">
        <f>IF(MAX($G$24:IQ$24)=0,MIN($H$11:$J$11,$H$14:$J$14,Control!$I$19:$K$19,$H$13:$J$13,$H$12:$J$12),EDATE(IQ$24,1))</f>
        <v>52963</v>
      </c>
      <c r="IS24" s="1189">
        <f>IF(MAX($G$24:IR$24)=0,MIN($H$11:$J$11,$H$14:$J$14,Control!$I$19:$K$19,$H$13:$J$13,$H$12:$J$12),EDATE(IR$24,1))</f>
        <v>52994</v>
      </c>
      <c r="IT24" s="1189">
        <f>IF(MAX($G$24:IS$24)=0,MIN($H$11:$J$11,$H$14:$J$14,Control!$I$19:$K$19,$H$13:$J$13,$H$12:$J$12),EDATE(IS$24,1))</f>
        <v>53022</v>
      </c>
      <c r="IU24" s="1189">
        <f>IF(MAX($G$24:IT$24)=0,MIN($H$11:$J$11,$H$14:$J$14,Control!$I$19:$K$19,$H$13:$J$13,$H$12:$J$12),EDATE(IT$24,1))</f>
        <v>53053</v>
      </c>
      <c r="IV24" s="1189">
        <f>IF(MAX($G$24:IU$24)=0,MIN($H$11:$J$11,$H$14:$J$14,Control!$I$19:$K$19,$H$13:$J$13,$H$12:$J$12),EDATE(IU$24,1))</f>
        <v>53083</v>
      </c>
      <c r="IW24" s="1189">
        <f>IF(MAX($G$24:IV$24)=0,MIN($H$11:$J$11,$H$14:$J$14,Control!$I$19:$K$19,$H$13:$J$13,$H$12:$J$12),EDATE(IV$24,1))</f>
        <v>53114</v>
      </c>
      <c r="IX24" s="1189">
        <f>IF(MAX($G$24:IW$24)=0,MIN($H$11:$J$11,$H$14:$J$14,Control!$I$19:$K$19,$H$13:$J$13,$H$12:$J$12),EDATE(IW$24,1))</f>
        <v>53144</v>
      </c>
      <c r="IY24" s="1189">
        <f>IF(MAX($G$24:IX$24)=0,MIN($H$11:$J$11,$H$14:$J$14,Control!$I$19:$K$19,$H$13:$J$13,$H$12:$J$12),EDATE(IX$24,1))</f>
        <v>53175</v>
      </c>
      <c r="IZ24" s="1189">
        <f>IF(MAX($G$24:IY$24)=0,MIN($H$11:$J$11,$H$14:$J$14,Control!$I$19:$K$19,$H$13:$J$13,$H$12:$J$12),EDATE(IY$24,1))</f>
        <v>53206</v>
      </c>
      <c r="JA24" s="1189">
        <f>IF(MAX($G$24:IZ$24)=0,MIN($H$11:$J$11,$H$14:$J$14,Control!$I$19:$K$19,$H$13:$J$13,$H$12:$J$12),EDATE(IZ$24,1))</f>
        <v>53236</v>
      </c>
      <c r="JB24" s="1189">
        <f>IF(MAX($G$24:JA$24)=0,MIN($H$11:$J$11,$H$14:$J$14,Control!$I$19:$K$19,$H$13:$J$13,$H$12:$J$12),EDATE(JA$24,1))</f>
        <v>53267</v>
      </c>
      <c r="JC24" s="1189">
        <f>IF(MAX($G$24:JB$24)=0,MIN($H$11:$J$11,$H$14:$J$14,Control!$I$19:$K$19,$H$13:$J$13,$H$12:$J$12),EDATE(JB$24,1))</f>
        <v>53297</v>
      </c>
      <c r="JD24" s="1189">
        <f>IF(MAX($G$24:JC$24)=0,MIN($H$11:$J$11,$H$14:$J$14,Control!$I$19:$K$19,$H$13:$J$13,$H$12:$J$12),EDATE(JC$24,1))</f>
        <v>53328</v>
      </c>
      <c r="JE24" s="1189">
        <f>IF(MAX($G$24:JD$24)=0,MIN($H$11:$J$11,$H$14:$J$14,Control!$I$19:$K$19,$H$13:$J$13,$H$12:$J$12),EDATE(JD$24,1))</f>
        <v>53359</v>
      </c>
      <c r="JF24" s="1189">
        <f>IF(MAX($G$24:JE$24)=0,MIN($H$11:$J$11,$H$14:$J$14,Control!$I$19:$K$19,$H$13:$J$13,$H$12:$J$12),EDATE(JE$24,1))</f>
        <v>53387</v>
      </c>
      <c r="JG24" s="1189">
        <f>IF(MAX($G$24:JF$24)=0,MIN($H$11:$J$11,$H$14:$J$14,Control!$I$19:$K$19,$H$13:$J$13,$H$12:$J$12),EDATE(JF$24,1))</f>
        <v>53418</v>
      </c>
      <c r="JH24" s="1189">
        <f>IF(MAX($G$24:JG$24)=0,MIN($H$11:$J$11,$H$14:$J$14,Control!$I$19:$K$19,$H$13:$J$13,$H$12:$J$12),EDATE(JG$24,1))</f>
        <v>53448</v>
      </c>
      <c r="JI24" s="1189">
        <f>IF(MAX($G$24:JH$24)=0,MIN($H$11:$J$11,$H$14:$J$14,Control!$I$19:$K$19,$H$13:$J$13,$H$12:$J$12),EDATE(JH$24,1))</f>
        <v>53479</v>
      </c>
      <c r="JJ24" s="1189">
        <f>IF(MAX($G$24:JI$24)=0,MIN($H$11:$J$11,$H$14:$J$14,Control!$I$19:$K$19,$H$13:$J$13,$H$12:$J$12),EDATE(JI$24,1))</f>
        <v>53509</v>
      </c>
      <c r="JK24" s="1189">
        <f>IF(MAX($G$24:JJ$24)=0,MIN($H$11:$J$11,$H$14:$J$14,Control!$I$19:$K$19,$H$13:$J$13,$H$12:$J$12),EDATE(JJ$24,1))</f>
        <v>53540</v>
      </c>
      <c r="JL24" s="1189">
        <f>IF(MAX($G$24:JK$24)=0,MIN($H$11:$J$11,$H$14:$J$14,Control!$I$19:$K$19,$H$13:$J$13,$H$12:$J$12),EDATE(JK$24,1))</f>
        <v>53571</v>
      </c>
      <c r="JM24" s="1189">
        <f>IF(MAX($G$24:JL$24)=0,MIN($H$11:$J$11,$H$14:$J$14,Control!$I$19:$K$19,$H$13:$J$13,$H$12:$J$12),EDATE(JL$24,1))</f>
        <v>53601</v>
      </c>
      <c r="JN24" s="1189">
        <f>IF(MAX($G$24:JM$24)=0,MIN($H$11:$J$11,$H$14:$J$14,Control!$I$19:$K$19,$H$13:$J$13,$H$12:$J$12),EDATE(JM$24,1))</f>
        <v>53632</v>
      </c>
      <c r="JO24" s="1189">
        <f>IF(MAX($G$24:JN$24)=0,MIN($H$11:$J$11,$H$14:$J$14,Control!$I$19:$K$19,$H$13:$J$13,$H$12:$J$12),EDATE(JN$24,1))</f>
        <v>53662</v>
      </c>
      <c r="JP24" s="1189">
        <f>IF(MAX($G$24:JO$24)=0,MIN($H$11:$J$11,$H$14:$J$14,Control!$I$19:$K$19,$H$13:$J$13,$H$12:$J$12),EDATE(JO$24,1))</f>
        <v>53693</v>
      </c>
      <c r="JQ24" s="1189">
        <f>IF(MAX($G$24:JP$24)=0,MIN($H$11:$J$11,$H$14:$J$14,Control!$I$19:$K$19,$H$13:$J$13,$H$12:$J$12),EDATE(JP$24,1))</f>
        <v>53724</v>
      </c>
      <c r="JR24" s="1189">
        <f>IF(MAX($G$24:JQ$24)=0,MIN($H$11:$J$11,$H$14:$J$14,Control!$I$19:$K$19,$H$13:$J$13,$H$12:$J$12),EDATE(JQ$24,1))</f>
        <v>53752</v>
      </c>
      <c r="JS24" s="1189">
        <f>IF(MAX($G$24:JR$24)=0,MIN($H$11:$J$11,$H$14:$J$14,Control!$I$19:$K$19,$H$13:$J$13,$H$12:$J$12),EDATE(JR$24,1))</f>
        <v>53783</v>
      </c>
      <c r="JT24" s="1189">
        <f>IF(MAX($G$24:JS$24)=0,MIN($H$11:$J$11,$H$14:$J$14,Control!$I$19:$K$19,$H$13:$J$13,$H$12:$J$12),EDATE(JS$24,1))</f>
        <v>53813</v>
      </c>
      <c r="JU24" s="1189">
        <f>IF(MAX($G$24:JT$24)=0,MIN($H$11:$J$11,$H$14:$J$14,Control!$I$19:$K$19,$H$13:$J$13,$H$12:$J$12),EDATE(JT$24,1))</f>
        <v>53844</v>
      </c>
      <c r="JV24" s="1189">
        <f>IF(MAX($G$24:JU$24)=0,MIN($H$11:$J$11,$H$14:$J$14,Control!$I$19:$K$19,$H$13:$J$13,$H$12:$J$12),EDATE(JU$24,1))</f>
        <v>53874</v>
      </c>
      <c r="JW24" s="1189">
        <f>IF(MAX($G$24:JV$24)=0,MIN($H$11:$J$11,$H$14:$J$14,Control!$I$19:$K$19,$H$13:$J$13,$H$12:$J$12),EDATE(JV$24,1))</f>
        <v>53905</v>
      </c>
      <c r="JX24" s="1189">
        <f>IF(MAX($G$24:JW$24)=0,MIN($H$11:$J$11,$H$14:$J$14,Control!$I$19:$K$19,$H$13:$J$13,$H$12:$J$12),EDATE(JW$24,1))</f>
        <v>53936</v>
      </c>
      <c r="JY24" s="1189">
        <f>IF(MAX($G$24:JX$24)=0,MIN($H$11:$J$11,$H$14:$J$14,Control!$I$19:$K$19,$H$13:$J$13,$H$12:$J$12),EDATE(JX$24,1))</f>
        <v>53966</v>
      </c>
      <c r="JZ24" s="1189">
        <f>IF(MAX($G$24:JY$24)=0,MIN($H$11:$J$11,$H$14:$J$14,Control!$I$19:$K$19,$H$13:$J$13,$H$12:$J$12),EDATE(JY$24,1))</f>
        <v>53997</v>
      </c>
      <c r="KA24" s="1189">
        <f>IF(MAX($G$24:JZ$24)=0,MIN($H$11:$J$11,$H$14:$J$14,Control!$I$19:$K$19,$H$13:$J$13,$H$12:$J$12),EDATE(JZ$24,1))</f>
        <v>54027</v>
      </c>
      <c r="KB24" s="1189">
        <f>IF(MAX($G$24:KA$24)=0,MIN($H$11:$J$11,$H$14:$J$14,Control!$I$19:$K$19,$H$13:$J$13,$H$12:$J$12),EDATE(KA$24,1))</f>
        <v>54058</v>
      </c>
      <c r="KC24" s="1189">
        <f>IF(MAX($G$24:KB$24)=0,MIN($H$11:$J$11,$H$14:$J$14,Control!$I$19:$K$19,$H$13:$J$13,$H$12:$J$12),EDATE(KB$24,1))</f>
        <v>54089</v>
      </c>
      <c r="KD24" s="1189">
        <f>IF(MAX($G$24:KC$24)=0,MIN($H$11:$J$11,$H$14:$J$14,Control!$I$19:$K$19,$H$13:$J$13,$H$12:$J$12),EDATE(KC$24,1))</f>
        <v>54118</v>
      </c>
      <c r="KE24" s="1189">
        <f>IF(MAX($G$24:KD$24)=0,MIN($H$11:$J$11,$H$14:$J$14,Control!$I$19:$K$19,$H$13:$J$13,$H$12:$J$12),EDATE(KD$24,1))</f>
        <v>54149</v>
      </c>
      <c r="KF24" s="1189">
        <f>IF(MAX($G$24:KE$24)=0,MIN($H$11:$J$11,$H$14:$J$14,Control!$I$19:$K$19,$H$13:$J$13,$H$12:$J$12),EDATE(KE$24,1))</f>
        <v>54179</v>
      </c>
      <c r="KG24" s="1189">
        <f>IF(MAX($G$24:KF$24)=0,MIN($H$11:$J$11,$H$14:$J$14,Control!$I$19:$K$19,$H$13:$J$13,$H$12:$J$12),EDATE(KF$24,1))</f>
        <v>54210</v>
      </c>
      <c r="KH24" s="1189">
        <f>IF(MAX($G$24:KG$24)=0,MIN($H$11:$J$11,$H$14:$J$14,Control!$I$19:$K$19,$H$13:$J$13,$H$12:$J$12),EDATE(KG$24,1))</f>
        <v>54240</v>
      </c>
      <c r="KI24" s="1189">
        <f>IF(MAX($G$24:KH$24)=0,MIN($H$11:$J$11,$H$14:$J$14,Control!$I$19:$K$19,$H$13:$J$13,$H$12:$J$12),EDATE(KH$24,1))</f>
        <v>54271</v>
      </c>
      <c r="KJ24" s="1189">
        <f>IF(MAX($G$24:KI$24)=0,MIN($H$11:$J$11,$H$14:$J$14,Control!$I$19:$K$19,$H$13:$J$13,$H$12:$J$12),EDATE(KI$24,1))</f>
        <v>54302</v>
      </c>
      <c r="KK24" s="1189">
        <f>IF(MAX($G$24:KJ$24)=0,MIN($H$11:$J$11,$H$14:$J$14,Control!$I$19:$K$19,$H$13:$J$13,$H$12:$J$12),EDATE(KJ$24,1))</f>
        <v>54332</v>
      </c>
      <c r="KL24" s="1189">
        <f>IF(MAX($G$24:KK$24)=0,MIN($H$11:$J$11,$H$14:$J$14,Control!$I$19:$K$19,$H$13:$J$13,$H$12:$J$12),EDATE(KK$24,1))</f>
        <v>54363</v>
      </c>
      <c r="KM24" s="1189">
        <f>IF(MAX($G$24:KL$24)=0,MIN($H$11:$J$11,$H$14:$J$14,Control!$I$19:$K$19,$H$13:$J$13,$H$12:$J$12),EDATE(KL$24,1))</f>
        <v>54393</v>
      </c>
      <c r="KN24" s="1189">
        <f>IF(MAX($G$24:KM$24)=0,MIN($H$11:$J$11,$H$14:$J$14,Control!$I$19:$K$19,$H$13:$J$13,$H$12:$J$12),EDATE(KM$24,1))</f>
        <v>54424</v>
      </c>
      <c r="KO24" s="1189">
        <f>IF(MAX($G$24:KN$24)=0,MIN($H$11:$J$11,$H$14:$J$14,Control!$I$19:$K$19,$H$13:$J$13,$H$12:$J$12),EDATE(KN$24,1))</f>
        <v>54455</v>
      </c>
      <c r="KP24" s="1189">
        <f>IF(MAX($G$24:KO$24)=0,MIN($H$11:$J$11,$H$14:$J$14,Control!$I$19:$K$19,$H$13:$J$13,$H$12:$J$12),EDATE(KO$24,1))</f>
        <v>54483</v>
      </c>
      <c r="KQ24" s="1189">
        <f>IF(MAX($G$24:KP$24)=0,MIN($H$11:$J$11,$H$14:$J$14,Control!$I$19:$K$19,$H$13:$J$13,$H$12:$J$12),EDATE(KP$24,1))</f>
        <v>54514</v>
      </c>
      <c r="KR24" s="1189">
        <f>IF(MAX($G$24:KQ$24)=0,MIN($H$11:$J$11,$H$14:$J$14,Control!$I$19:$K$19,$H$13:$J$13,$H$12:$J$12),EDATE(KQ$24,1))</f>
        <v>54544</v>
      </c>
      <c r="KS24" s="1189">
        <f>IF(MAX($G$24:KR$24)=0,MIN($H$11:$J$11,$H$14:$J$14,Control!$I$19:$K$19,$H$13:$J$13,$H$12:$J$12),EDATE(KR$24,1))</f>
        <v>54575</v>
      </c>
      <c r="KT24" s="1189">
        <f>IF(MAX($G$24:KS$24)=0,MIN($H$11:$J$11,$H$14:$J$14,Control!$I$19:$K$19,$H$13:$J$13,$H$12:$J$12),EDATE(KS$24,1))</f>
        <v>54605</v>
      </c>
      <c r="KU24" s="1189">
        <f>IF(MAX($G$24:KT$24)=0,MIN($H$11:$J$11,$H$14:$J$14,Control!$I$19:$K$19,$H$13:$J$13,$H$12:$J$12),EDATE(KT$24,1))</f>
        <v>54636</v>
      </c>
      <c r="KV24" s="1189">
        <f>IF(MAX($G$24:KU$24)=0,MIN($H$11:$J$11,$H$14:$J$14,Control!$I$19:$K$19,$H$13:$J$13,$H$12:$J$12),EDATE(KU$24,1))</f>
        <v>54667</v>
      </c>
      <c r="KW24" s="1189">
        <f>IF(MAX($G$24:KV$24)=0,MIN($H$11:$J$11,$H$14:$J$14,Control!$I$19:$K$19,$H$13:$J$13,$H$12:$J$12),EDATE(KV$24,1))</f>
        <v>54697</v>
      </c>
      <c r="KX24" s="1189">
        <f>IF(MAX($G$24:KW$24)=0,MIN($H$11:$J$11,$H$14:$J$14,Control!$I$19:$K$19,$H$13:$J$13,$H$12:$J$12),EDATE(KW$24,1))</f>
        <v>54728</v>
      </c>
      <c r="KY24" s="1189">
        <f>IF(MAX($G$24:KX$24)=0,MIN($H$11:$J$11,$H$14:$J$14,Control!$I$19:$K$19,$H$13:$J$13,$H$12:$J$12),EDATE(KX$24,1))</f>
        <v>54758</v>
      </c>
      <c r="KZ24" s="1189">
        <f>IF(MAX($G$24:KY$24)=0,MIN($H$11:$J$11,$H$14:$J$14,Control!$I$19:$K$19,$H$13:$J$13,$H$12:$J$12),EDATE(KY$24,1))</f>
        <v>54789</v>
      </c>
      <c r="LA24" s="1189">
        <f>IF(MAX($G$24:KZ$24)=0,MIN($H$11:$J$11,$H$14:$J$14,Control!$I$19:$K$19,$H$13:$J$13,$H$12:$J$12),EDATE(KZ$24,1))</f>
        <v>54820</v>
      </c>
      <c r="LB24" s="1189">
        <f>IF(MAX($G$24:LA$24)=0,MIN($H$11:$J$11,$H$14:$J$14,Control!$I$19:$K$19,$H$13:$J$13,$H$12:$J$12),EDATE(LA$24,1))</f>
        <v>54848</v>
      </c>
      <c r="LC24" s="1189">
        <f>IF(MAX($G$24:LB$24)=0,MIN($H$11:$J$11,$H$14:$J$14,Control!$I$19:$K$19,$H$13:$J$13,$H$12:$J$12),EDATE(LB$24,1))</f>
        <v>54879</v>
      </c>
      <c r="LD24" s="1189">
        <f>IF(MAX($G$24:LC$24)=0,MIN($H$11:$J$11,$H$14:$J$14,Control!$I$19:$K$19,$H$13:$J$13,$H$12:$J$12),EDATE(LC$24,1))</f>
        <v>54909</v>
      </c>
      <c r="LE24" s="1189">
        <f>IF(MAX($G$24:LD$24)=0,MIN($H$11:$J$11,$H$14:$J$14,Control!$I$19:$K$19,$H$13:$J$13,$H$12:$J$12),EDATE(LD$24,1))</f>
        <v>54940</v>
      </c>
      <c r="LF24" s="1189">
        <f>IF(MAX($G$24:LE$24)=0,MIN($H$11:$J$11,$H$14:$J$14,Control!$I$19:$K$19,$H$13:$J$13,$H$12:$J$12),EDATE(LE$24,1))</f>
        <v>54970</v>
      </c>
      <c r="LG24" s="1189">
        <f>IF(MAX($G$24:LF$24)=0,MIN($H$11:$J$11,$H$14:$J$14,Control!$I$19:$K$19,$H$13:$J$13,$H$12:$J$12),EDATE(LF$24,1))</f>
        <v>55001</v>
      </c>
      <c r="LH24" s="1189">
        <f>IF(MAX($G$24:LG$24)=0,MIN($H$11:$J$11,$H$14:$J$14,Control!$I$19:$K$19,$H$13:$J$13,$H$12:$J$12),EDATE(LG$24,1))</f>
        <v>55032</v>
      </c>
      <c r="LI24" s="1189">
        <f>IF(MAX($G$24:LH$24)=0,MIN($H$11:$J$11,$H$14:$J$14,Control!$I$19:$K$19,$H$13:$J$13,$H$12:$J$12),EDATE(LH$24,1))</f>
        <v>55062</v>
      </c>
      <c r="LJ24" s="1189">
        <f>IF(MAX($G$24:LI$24)=0,MIN($H$11:$J$11,$H$14:$J$14,Control!$I$19:$K$19,$H$13:$J$13,$H$12:$J$12),EDATE(LI$24,1))</f>
        <v>55093</v>
      </c>
      <c r="LK24" s="1189">
        <f>IF(MAX($G$24:LJ$24)=0,MIN($H$11:$J$11,$H$14:$J$14,Control!$I$19:$K$19,$H$13:$J$13,$H$12:$J$12),EDATE(LJ$24,1))</f>
        <v>55123</v>
      </c>
      <c r="LL24" s="1189">
        <f>IF(MAX($G$24:LK$24)=0,MIN($H$11:$J$11,$H$14:$J$14,Control!$I$19:$K$19,$H$13:$J$13,$H$12:$J$12),EDATE(LK$24,1))</f>
        <v>55154</v>
      </c>
      <c r="LM24" s="1189">
        <f>IF(MAX($G$24:LL$24)=0,MIN($H$11:$J$11,$H$14:$J$14,Control!$I$19:$K$19,$H$13:$J$13,$H$12:$J$12),EDATE(LL$24,1))</f>
        <v>55185</v>
      </c>
      <c r="LN24" s="1189">
        <f>IF(MAX($G$24:LM$24)=0,MIN($H$11:$J$11,$H$14:$J$14,Control!$I$19:$K$19,$H$13:$J$13,$H$12:$J$12),EDATE(LM$24,1))</f>
        <v>55213</v>
      </c>
      <c r="LO24" s="1189">
        <f>IF(MAX($G$24:LN$24)=0,MIN($H$11:$J$11,$H$14:$J$14,Control!$I$19:$K$19,$H$13:$J$13,$H$12:$J$12),EDATE(LN$24,1))</f>
        <v>55244</v>
      </c>
      <c r="LP24" s="1189">
        <f>IF(MAX($G$24:LO$24)=0,MIN($H$11:$J$11,$H$14:$J$14,Control!$I$19:$K$19,$H$13:$J$13,$H$12:$J$12),EDATE(LO$24,1))</f>
        <v>55274</v>
      </c>
      <c r="LQ24" s="1189">
        <f>IF(MAX($G$24:LP$24)=0,MIN($H$11:$J$11,$H$14:$J$14,Control!$I$19:$K$19,$H$13:$J$13,$H$12:$J$12),EDATE(LP$24,1))</f>
        <v>55305</v>
      </c>
      <c r="LR24" s="1189">
        <f>IF(MAX($G$24:LQ$24)=0,MIN($H$11:$J$11,$H$14:$J$14,Control!$I$19:$K$19,$H$13:$J$13,$H$12:$J$12),EDATE(LQ$24,1))</f>
        <v>55335</v>
      </c>
      <c r="LS24" s="1189">
        <f>IF(MAX($G$24:LR$24)=0,MIN($H$11:$J$11,$H$14:$J$14,Control!$I$19:$K$19,$H$13:$J$13,$H$12:$J$12),EDATE(LR$24,1))</f>
        <v>55366</v>
      </c>
      <c r="LT24" s="1189">
        <f>IF(MAX($G$24:LS$24)=0,MIN($H$11:$J$11,$H$14:$J$14,Control!$I$19:$K$19,$H$13:$J$13,$H$12:$J$12),EDATE(LS$24,1))</f>
        <v>55397</v>
      </c>
      <c r="LU24" s="1189">
        <f>IF(MAX($G$24:LT$24)=0,MIN($H$11:$J$11,$H$14:$J$14,Control!$I$19:$K$19,$H$13:$J$13,$H$12:$J$12),EDATE(LT$24,1))</f>
        <v>55427</v>
      </c>
      <c r="LV24" s="1189">
        <f>IF(MAX($G$24:LU$24)=0,MIN($H$11:$J$11,$H$14:$J$14,Control!$I$19:$K$19,$H$13:$J$13,$H$12:$J$12),EDATE(LU$24,1))</f>
        <v>55458</v>
      </c>
      <c r="LW24" s="1189">
        <f>IF(MAX($G$24:LV$24)=0,MIN($H$11:$J$11,$H$14:$J$14,Control!$I$19:$K$19,$H$13:$J$13,$H$12:$J$12),EDATE(LV$24,1))</f>
        <v>55488</v>
      </c>
      <c r="LX24" s="1189">
        <f>IF(MAX($G$24:LW$24)=0,MIN($H$11:$J$11,$H$14:$J$14,Control!$I$19:$K$19,$H$13:$J$13,$H$12:$J$12),EDATE(LW$24,1))</f>
        <v>55519</v>
      </c>
      <c r="LY24" s="1189">
        <f>IF(MAX($G$24:LX$24)=0,MIN($H$11:$J$11,$H$14:$J$14,Control!$I$19:$K$19,$H$13:$J$13,$H$12:$J$12),EDATE(LX$24,1))</f>
        <v>55550</v>
      </c>
      <c r="LZ24" s="1189">
        <f>IF(MAX($G$24:LY$24)=0,MIN($H$11:$J$11,$H$14:$J$14,Control!$I$19:$K$19,$H$13:$J$13,$H$12:$J$12),EDATE(LY$24,1))</f>
        <v>55579</v>
      </c>
      <c r="MA24" s="1189">
        <f>IF(MAX($G$24:LZ$24)=0,MIN($H$11:$J$11,$H$14:$J$14,Control!$I$19:$K$19,$H$13:$J$13,$H$12:$J$12),EDATE(LZ$24,1))</f>
        <v>55610</v>
      </c>
      <c r="MB24" s="1189">
        <f>IF(MAX($G$24:MA$24)=0,MIN($H$11:$J$11,$H$14:$J$14,Control!$I$19:$K$19,$H$13:$J$13,$H$12:$J$12),EDATE(MA$24,1))</f>
        <v>55640</v>
      </c>
      <c r="MC24" s="1189">
        <f>IF(MAX($G$24:MB$24)=0,MIN($H$11:$J$11,$H$14:$J$14,Control!$I$19:$K$19,$H$13:$J$13,$H$12:$J$12),EDATE(MB$24,1))</f>
        <v>55671</v>
      </c>
      <c r="MD24" s="1189">
        <f>IF(MAX($G$24:MC$24)=0,MIN($H$11:$J$11,$H$14:$J$14,Control!$I$19:$K$19,$H$13:$J$13,$H$12:$J$12),EDATE(MC$24,1))</f>
        <v>55701</v>
      </c>
      <c r="ME24" s="1189">
        <f>IF(MAX($G$24:MD$24)=0,MIN($H$11:$J$11,$H$14:$J$14,Control!$I$19:$K$19,$H$13:$J$13,$H$12:$J$12),EDATE(MD$24,1))</f>
        <v>55732</v>
      </c>
      <c r="MF24" s="1189">
        <f>IF(MAX($G$24:ME$24)=0,MIN($H$11:$J$11,$H$14:$J$14,Control!$I$19:$K$19,$H$13:$J$13,$H$12:$J$12),EDATE(ME$24,1))</f>
        <v>55763</v>
      </c>
      <c r="MG24" s="1189">
        <f>IF(MAX($G$24:MF$24)=0,MIN($H$11:$J$11,$H$14:$J$14,Control!$I$19:$K$19,$H$13:$J$13,$H$12:$J$12),EDATE(MF$24,1))</f>
        <v>55793</v>
      </c>
      <c r="MH24" s="1189">
        <f>IF(MAX($G$24:MG$24)=0,MIN($H$11:$J$11,$H$14:$J$14,Control!$I$19:$K$19,$H$13:$J$13,$H$12:$J$12),EDATE(MG$24,1))</f>
        <v>55824</v>
      </c>
      <c r="MI24" s="1189">
        <f>IF(MAX($G$24:MH$24)=0,MIN($H$11:$J$11,$H$14:$J$14,Control!$I$19:$K$19,$H$13:$J$13,$H$12:$J$12),EDATE(MH$24,1))</f>
        <v>55854</v>
      </c>
      <c r="MJ24" s="1189">
        <f>IF(MAX($G$24:MI$24)=0,MIN($H$11:$J$11,$H$14:$J$14,Control!$I$19:$K$19,$H$13:$J$13,$H$12:$J$12),EDATE(MI$24,1))</f>
        <v>55885</v>
      </c>
      <c r="MK24" s="1189">
        <f>IF(MAX($G$24:MJ$24)=0,MIN($H$11:$J$11,$H$14:$J$14,Control!$I$19:$K$19,$H$13:$J$13,$H$12:$J$12),EDATE(MJ$24,1))</f>
        <v>55916</v>
      </c>
      <c r="ML24" s="1189">
        <f>IF(MAX($G$24:MK$24)=0,MIN($H$11:$J$11,$H$14:$J$14,Control!$I$19:$K$19,$H$13:$J$13,$H$12:$J$12),EDATE(MK$24,1))</f>
        <v>55944</v>
      </c>
      <c r="MM24" s="1189">
        <f>IF(MAX($G$24:ML$24)=0,MIN($H$11:$J$11,$H$14:$J$14,Control!$I$19:$K$19,$H$13:$J$13,$H$12:$J$12),EDATE(ML$24,1))</f>
        <v>55975</v>
      </c>
      <c r="MN24" s="1189">
        <f>IF(MAX($G$24:MM$24)=0,MIN($H$11:$J$11,$H$14:$J$14,Control!$I$19:$K$19,$H$13:$J$13,$H$12:$J$12),EDATE(MM$24,1))</f>
        <v>56005</v>
      </c>
      <c r="MO24" s="1189">
        <f>IF(MAX($G$24:MN$24)=0,MIN($H$11:$J$11,$H$14:$J$14,Control!$I$19:$K$19,$H$13:$J$13,$H$12:$J$12),EDATE(MN$24,1))</f>
        <v>56036</v>
      </c>
      <c r="MP24" s="1189">
        <f>IF(MAX($G$24:MO$24)=0,MIN($H$11:$J$11,$H$14:$J$14,Control!$I$19:$K$19,$H$13:$J$13,$H$12:$J$12),EDATE(MO$24,1))</f>
        <v>56066</v>
      </c>
      <c r="MQ24" s="1189">
        <f>IF(MAX($G$24:MP$24)=0,MIN($H$11:$J$11,$H$14:$J$14,Control!$I$19:$K$19,$H$13:$J$13,$H$12:$J$12),EDATE(MP$24,1))</f>
        <v>56097</v>
      </c>
      <c r="MR24" s="1189">
        <f>IF(MAX($G$24:MQ$24)=0,MIN($H$11:$J$11,$H$14:$J$14,Control!$I$19:$K$19,$H$13:$J$13,$H$12:$J$12),EDATE(MQ$24,1))</f>
        <v>56128</v>
      </c>
      <c r="MS24" s="1189">
        <f>IF(MAX($G$24:MR$24)=0,MIN($H$11:$J$11,$H$14:$J$14,Control!$I$19:$K$19,$H$13:$J$13,$H$12:$J$12),EDATE(MR$24,1))</f>
        <v>56158</v>
      </c>
      <c r="MT24" s="1189">
        <f>IF(MAX($G$24:MS$24)=0,MIN($H$11:$J$11,$H$14:$J$14,Control!$I$19:$K$19,$H$13:$J$13,$H$12:$J$12),EDATE(MS$24,1))</f>
        <v>56189</v>
      </c>
      <c r="MU24" s="1189">
        <f>IF(MAX($G$24:MT$24)=0,MIN($H$11:$J$11,$H$14:$J$14,Control!$I$19:$K$19,$H$13:$J$13,$H$12:$J$12),EDATE(MT$24,1))</f>
        <v>56219</v>
      </c>
      <c r="MV24" s="1189">
        <f>IF(MAX($G$24:MU$24)=0,MIN($H$11:$J$11,$H$14:$J$14,Control!$I$19:$K$19,$H$13:$J$13,$H$12:$J$12),EDATE(MU$24,1))</f>
        <v>56250</v>
      </c>
      <c r="MW24" s="1189">
        <f>IF(MAX($G$24:MV$24)=0,MIN($H$11:$J$11,$H$14:$J$14,Control!$I$19:$K$19,$H$13:$J$13,$H$12:$J$12),EDATE(MV$24,1))</f>
        <v>56281</v>
      </c>
      <c r="MX24" s="1189">
        <f>IF(MAX($G$24:MW$24)=0,MIN($H$11:$J$11,$H$14:$J$14,Control!$I$19:$K$19,$H$13:$J$13,$H$12:$J$12),EDATE(MW$24,1))</f>
        <v>56309</v>
      </c>
      <c r="MY24" s="1189">
        <f>IF(MAX($G$24:MX$24)=0,MIN($H$11:$J$11,$H$14:$J$14,Control!$I$19:$K$19,$H$13:$J$13,$H$12:$J$12),EDATE(MX$24,1))</f>
        <v>56340</v>
      </c>
      <c r="MZ24" s="1189">
        <f>IF(MAX($G$24:MY$24)=0,MIN($H$11:$J$11,$H$14:$J$14,Control!$I$19:$K$19,$H$13:$J$13,$H$12:$J$12),EDATE(MY$24,1))</f>
        <v>56370</v>
      </c>
      <c r="NA24" s="1189">
        <f>IF(MAX($G$24:MZ$24)=0,MIN($H$11:$J$11,$H$14:$J$14,Control!$I$19:$K$19,$H$13:$J$13,$H$12:$J$12),EDATE(MZ$24,1))</f>
        <v>56401</v>
      </c>
      <c r="NB24" s="1189">
        <f>IF(MAX($G$24:NA$24)=0,MIN($H$11:$J$11,$H$14:$J$14,Control!$I$19:$K$19,$H$13:$J$13,$H$12:$J$12),EDATE(NA$24,1))</f>
        <v>56431</v>
      </c>
      <c r="NC24" s="1189">
        <f>IF(MAX($G$24:NB$24)=0,MIN($H$11:$J$11,$H$14:$J$14,Control!$I$19:$K$19,$H$13:$J$13,$H$12:$J$12),EDATE(NB$24,1))</f>
        <v>56462</v>
      </c>
    </row>
    <row r="25" spans="1:367" s="82" customFormat="1" ht="15" customHeight="1" x14ac:dyDescent="0.35">
      <c r="A25" s="82">
        <f>MAX($A$11:A24)+1</f>
        <v>9</v>
      </c>
      <c r="D25" s="1188" t="s">
        <v>612</v>
      </c>
      <c r="E25" s="82" t="s">
        <v>10</v>
      </c>
      <c r="F25" s="82" t="str">
        <f>"["&amp;A25&amp;"]"</f>
        <v>[9]</v>
      </c>
      <c r="G25" s="82" t="str">
        <f>'Inflation Forecast'!$D$3</f>
        <v>Table C4</v>
      </c>
      <c r="H25" s="193">
        <f>_xlfn.XLOOKUP(YEAR(H$24),'Inflation Forecast'!$D$11:$D$41,'Inflation Forecast'!$F$11:$F$41)</f>
        <v>2.3754325560956246E-3</v>
      </c>
      <c r="I25" s="193">
        <f>_xlfn.XLOOKUP(YEAR(I$24),'Inflation Forecast'!$D$11:$D$41,'Inflation Forecast'!$F$11:$F$41)</f>
        <v>2.3754325560956246E-3</v>
      </c>
      <c r="J25" s="193">
        <f>_xlfn.XLOOKUP(YEAR(J$24),'Inflation Forecast'!$D$11:$D$41,'Inflation Forecast'!$F$11:$F$41)</f>
        <v>2.3754325560956246E-3</v>
      </c>
      <c r="K25" s="193">
        <f>_xlfn.XLOOKUP(YEAR(K$24),'Inflation Forecast'!$D$11:$D$41,'Inflation Forecast'!$F$11:$F$41)</f>
        <v>2.3754325560956246E-3</v>
      </c>
      <c r="L25" s="193">
        <f>_xlfn.XLOOKUP(YEAR(L$24),'Inflation Forecast'!$D$11:$D$41,'Inflation Forecast'!$F$11:$F$41)</f>
        <v>2.2487961986243921E-3</v>
      </c>
      <c r="M25" s="193">
        <f>_xlfn.XLOOKUP(YEAR(M$24),'Inflation Forecast'!$D$11:$D$41,'Inflation Forecast'!$F$11:$F$41)</f>
        <v>2.2487961986243921E-3</v>
      </c>
      <c r="N25" s="193">
        <f>_xlfn.XLOOKUP(YEAR(N$24),'Inflation Forecast'!$D$11:$D$41,'Inflation Forecast'!$F$11:$F$41)</f>
        <v>2.2487961986243921E-3</v>
      </c>
      <c r="O25" s="193">
        <f>_xlfn.XLOOKUP(YEAR(O$24),'Inflation Forecast'!$D$11:$D$41,'Inflation Forecast'!$F$11:$F$41)</f>
        <v>2.2487961986243921E-3</v>
      </c>
      <c r="P25" s="193">
        <f>_xlfn.XLOOKUP(YEAR(P$24),'Inflation Forecast'!$D$11:$D$41,'Inflation Forecast'!$F$11:$F$41)</f>
        <v>2.2487961986243921E-3</v>
      </c>
      <c r="Q25" s="193">
        <f>_xlfn.XLOOKUP(YEAR(Q$24),'Inflation Forecast'!$D$11:$D$41,'Inflation Forecast'!$F$11:$F$41)</f>
        <v>2.2487961986243921E-3</v>
      </c>
      <c r="R25" s="193">
        <f>_xlfn.XLOOKUP(YEAR(R$24),'Inflation Forecast'!$D$11:$D$41,'Inflation Forecast'!$F$11:$F$41)</f>
        <v>2.2487961986243921E-3</v>
      </c>
      <c r="S25" s="193">
        <f>_xlfn.XLOOKUP(YEAR(S$24),'Inflation Forecast'!$D$11:$D$41,'Inflation Forecast'!$F$11:$F$41)</f>
        <v>2.2487961986243921E-3</v>
      </c>
      <c r="T25" s="193">
        <f>_xlfn.XLOOKUP(YEAR(T$24),'Inflation Forecast'!$D$11:$D$41,'Inflation Forecast'!$F$11:$F$41)</f>
        <v>2.2487961986243921E-3</v>
      </c>
      <c r="U25" s="193">
        <f>_xlfn.XLOOKUP(YEAR(U$24),'Inflation Forecast'!$D$11:$D$41,'Inflation Forecast'!$F$11:$F$41)</f>
        <v>2.2487961986243921E-3</v>
      </c>
      <c r="V25" s="193">
        <f>_xlfn.XLOOKUP(YEAR(V$24),'Inflation Forecast'!$D$11:$D$41,'Inflation Forecast'!$F$11:$F$41)</f>
        <v>2.2487961986243921E-3</v>
      </c>
      <c r="W25" s="193">
        <f>_xlfn.XLOOKUP(YEAR(W$24),'Inflation Forecast'!$D$11:$D$41,'Inflation Forecast'!$F$11:$F$41)</f>
        <v>2.2487961986243921E-3</v>
      </c>
      <c r="X25" s="193">
        <f>_xlfn.XLOOKUP(YEAR(X$24),'Inflation Forecast'!$D$11:$D$41,'Inflation Forecast'!$F$11:$F$41)</f>
        <v>2.0636307866834791E-3</v>
      </c>
      <c r="Y25" s="193">
        <f>_xlfn.XLOOKUP(YEAR(Y$24),'Inflation Forecast'!$D$11:$D$41,'Inflation Forecast'!$F$11:$F$41)</f>
        <v>2.0636307866834791E-3</v>
      </c>
      <c r="Z25" s="193">
        <f>_xlfn.XLOOKUP(YEAR(Z$24),'Inflation Forecast'!$D$11:$D$41,'Inflation Forecast'!$F$11:$F$41)</f>
        <v>2.0636307866834791E-3</v>
      </c>
      <c r="AA25" s="193">
        <f>_xlfn.XLOOKUP(YEAR(AA$24),'Inflation Forecast'!$D$11:$D$41,'Inflation Forecast'!$F$11:$F$41)</f>
        <v>2.0636307866834791E-3</v>
      </c>
      <c r="AB25" s="193">
        <f>_xlfn.XLOOKUP(YEAR(AB$24),'Inflation Forecast'!$D$11:$D$41,'Inflation Forecast'!$F$11:$F$41)</f>
        <v>2.0636307866834791E-3</v>
      </c>
      <c r="AC25" s="193">
        <f>_xlfn.XLOOKUP(YEAR(AC$24),'Inflation Forecast'!$D$11:$D$41,'Inflation Forecast'!$F$11:$F$41)</f>
        <v>2.0636307866834791E-3</v>
      </c>
      <c r="AD25" s="193">
        <f>_xlfn.XLOOKUP(YEAR(AD$24),'Inflation Forecast'!$D$11:$D$41,'Inflation Forecast'!$F$11:$F$41)</f>
        <v>2.0636307866834791E-3</v>
      </c>
      <c r="AE25" s="193">
        <f>_xlfn.XLOOKUP(YEAR(AE$24),'Inflation Forecast'!$D$11:$D$41,'Inflation Forecast'!$F$11:$F$41)</f>
        <v>2.0636307866834791E-3</v>
      </c>
      <c r="AF25" s="193">
        <f>_xlfn.XLOOKUP(YEAR(AF$24),'Inflation Forecast'!$D$11:$D$41,'Inflation Forecast'!$F$11:$F$41)</f>
        <v>2.0636307866834791E-3</v>
      </c>
      <c r="AG25" s="193">
        <f>_xlfn.XLOOKUP(YEAR(AG$24),'Inflation Forecast'!$D$11:$D$41,'Inflation Forecast'!$F$11:$F$41)</f>
        <v>2.0636307866834791E-3</v>
      </c>
      <c r="AH25" s="193">
        <f>_xlfn.XLOOKUP(YEAR(AH$24),'Inflation Forecast'!$D$11:$D$41,'Inflation Forecast'!$F$11:$F$41)</f>
        <v>2.0636307866834791E-3</v>
      </c>
      <c r="AI25" s="193">
        <f>_xlfn.XLOOKUP(YEAR(AI$24),'Inflation Forecast'!$D$11:$D$41,'Inflation Forecast'!$F$11:$F$41)</f>
        <v>2.0636307866834791E-3</v>
      </c>
      <c r="AJ25" s="193">
        <f>_xlfn.XLOOKUP(YEAR(AJ$24),'Inflation Forecast'!$D$11:$D$41,'Inflation Forecast'!$F$11:$F$41)</f>
        <v>1.999913345157589E-3</v>
      </c>
      <c r="AK25" s="193">
        <f>_xlfn.XLOOKUP(YEAR(AK$24),'Inflation Forecast'!$D$11:$D$41,'Inflation Forecast'!$F$11:$F$41)</f>
        <v>1.999913345157589E-3</v>
      </c>
      <c r="AL25" s="193">
        <f>_xlfn.XLOOKUP(YEAR(AL$24),'Inflation Forecast'!$D$11:$D$41,'Inflation Forecast'!$F$11:$F$41)</f>
        <v>1.999913345157589E-3</v>
      </c>
      <c r="AM25" s="193">
        <f>_xlfn.XLOOKUP(YEAR(AM$24),'Inflation Forecast'!$D$11:$D$41,'Inflation Forecast'!$F$11:$F$41)</f>
        <v>1.999913345157589E-3</v>
      </c>
      <c r="AN25" s="193">
        <f>_xlfn.XLOOKUP(YEAR(AN$24),'Inflation Forecast'!$D$11:$D$41,'Inflation Forecast'!$F$11:$F$41)</f>
        <v>1.999913345157589E-3</v>
      </c>
      <c r="AO25" s="193">
        <f>_xlfn.XLOOKUP(YEAR(AO$24),'Inflation Forecast'!$D$11:$D$41,'Inflation Forecast'!$F$11:$F$41)</f>
        <v>1.999913345157589E-3</v>
      </c>
      <c r="AP25" s="193">
        <f>_xlfn.XLOOKUP(YEAR(AP$24),'Inflation Forecast'!$D$11:$D$41,'Inflation Forecast'!$F$11:$F$41)</f>
        <v>1.999913345157589E-3</v>
      </c>
      <c r="AQ25" s="193">
        <f>_xlfn.XLOOKUP(YEAR(AQ$24),'Inflation Forecast'!$D$11:$D$41,'Inflation Forecast'!$F$11:$F$41)</f>
        <v>1.999913345157589E-3</v>
      </c>
      <c r="AR25" s="193">
        <f>_xlfn.XLOOKUP(YEAR(AR$24),'Inflation Forecast'!$D$11:$D$41,'Inflation Forecast'!$F$11:$F$41)</f>
        <v>1.999913345157589E-3</v>
      </c>
      <c r="AS25" s="193">
        <f>_xlfn.XLOOKUP(YEAR(AS$24),'Inflation Forecast'!$D$11:$D$41,'Inflation Forecast'!$F$11:$F$41)</f>
        <v>1.999913345157589E-3</v>
      </c>
      <c r="AT25" s="193">
        <f>_xlfn.XLOOKUP(YEAR(AT$24),'Inflation Forecast'!$D$11:$D$41,'Inflation Forecast'!$F$11:$F$41)</f>
        <v>1.999913345157589E-3</v>
      </c>
      <c r="AU25" s="193">
        <f>_xlfn.XLOOKUP(YEAR(AU$24),'Inflation Forecast'!$D$11:$D$41,'Inflation Forecast'!$F$11:$F$41)</f>
        <v>1.999913345157589E-3</v>
      </c>
      <c r="AV25" s="193">
        <f>_xlfn.XLOOKUP(YEAR(AV$24),'Inflation Forecast'!$D$11:$D$41,'Inflation Forecast'!$F$11:$F$41)</f>
        <v>1.9807203511530425E-3</v>
      </c>
      <c r="AW25" s="193">
        <f>_xlfn.XLOOKUP(YEAR(AW$24),'Inflation Forecast'!$D$11:$D$41,'Inflation Forecast'!$F$11:$F$41)</f>
        <v>1.9807203511530425E-3</v>
      </c>
      <c r="AX25" s="193">
        <f>_xlfn.XLOOKUP(YEAR(AX$24),'Inflation Forecast'!$D$11:$D$41,'Inflation Forecast'!$F$11:$F$41)</f>
        <v>1.9807203511530425E-3</v>
      </c>
      <c r="AY25" s="193">
        <f>_xlfn.XLOOKUP(YEAR(AY$24),'Inflation Forecast'!$D$11:$D$41,'Inflation Forecast'!$F$11:$F$41)</f>
        <v>1.9807203511530425E-3</v>
      </c>
      <c r="AZ25" s="193">
        <f>_xlfn.XLOOKUP(YEAR(AZ$24),'Inflation Forecast'!$D$11:$D$41,'Inflation Forecast'!$F$11:$F$41)</f>
        <v>1.9807203511530425E-3</v>
      </c>
      <c r="BA25" s="193">
        <f>_xlfn.XLOOKUP(YEAR(BA$24),'Inflation Forecast'!$D$11:$D$41,'Inflation Forecast'!$F$11:$F$41)</f>
        <v>1.9807203511530425E-3</v>
      </c>
      <c r="BB25" s="193">
        <f>_xlfn.XLOOKUP(YEAR(BB$24),'Inflation Forecast'!$D$11:$D$41,'Inflation Forecast'!$F$11:$F$41)</f>
        <v>1.9807203511530425E-3</v>
      </c>
      <c r="BC25" s="193">
        <f>_xlfn.XLOOKUP(YEAR(BC$24),'Inflation Forecast'!$D$11:$D$41,'Inflation Forecast'!$F$11:$F$41)</f>
        <v>1.9807203511530425E-3</v>
      </c>
      <c r="BD25" s="193">
        <f>_xlfn.XLOOKUP(YEAR(BD$24),'Inflation Forecast'!$D$11:$D$41,'Inflation Forecast'!$F$11:$F$41)</f>
        <v>1.9807203511530425E-3</v>
      </c>
      <c r="BE25" s="193">
        <f>_xlfn.XLOOKUP(YEAR(BE$24),'Inflation Forecast'!$D$11:$D$41,'Inflation Forecast'!$F$11:$F$41)</f>
        <v>1.9807203511530425E-3</v>
      </c>
      <c r="BF25" s="193">
        <f>_xlfn.XLOOKUP(YEAR(BF$24),'Inflation Forecast'!$D$11:$D$41,'Inflation Forecast'!$F$11:$F$41)</f>
        <v>1.9807203511530425E-3</v>
      </c>
      <c r="BG25" s="193">
        <f>_xlfn.XLOOKUP(YEAR(BG$24),'Inflation Forecast'!$D$11:$D$41,'Inflation Forecast'!$F$11:$F$41)</f>
        <v>1.9807203511530425E-3</v>
      </c>
      <c r="BH25" s="193">
        <f>_xlfn.XLOOKUP(YEAR(BH$24),'Inflation Forecast'!$D$11:$D$41,'Inflation Forecast'!$F$11:$F$41)</f>
        <v>1.9787931586201513E-3</v>
      </c>
      <c r="BI25" s="193">
        <f>_xlfn.XLOOKUP(YEAR(BI$24),'Inflation Forecast'!$D$11:$D$41,'Inflation Forecast'!$F$11:$F$41)</f>
        <v>1.9787931586201513E-3</v>
      </c>
      <c r="BJ25" s="193">
        <f>_xlfn.XLOOKUP(YEAR(BJ$24),'Inflation Forecast'!$D$11:$D$41,'Inflation Forecast'!$F$11:$F$41)</f>
        <v>1.9787931586201513E-3</v>
      </c>
      <c r="BK25" s="193">
        <f>_xlfn.XLOOKUP(YEAR(BK$24),'Inflation Forecast'!$D$11:$D$41,'Inflation Forecast'!$F$11:$F$41)</f>
        <v>1.9787931586201513E-3</v>
      </c>
      <c r="BL25" s="193">
        <f>_xlfn.XLOOKUP(YEAR(BL$24),'Inflation Forecast'!$D$11:$D$41,'Inflation Forecast'!$F$11:$F$41)</f>
        <v>1.9787931586201513E-3</v>
      </c>
      <c r="BM25" s="193">
        <f>_xlfn.XLOOKUP(YEAR(BM$24),'Inflation Forecast'!$D$11:$D$41,'Inflation Forecast'!$F$11:$F$41)</f>
        <v>1.9787931586201513E-3</v>
      </c>
      <c r="BN25" s="193">
        <f>_xlfn.XLOOKUP(YEAR(BN$24),'Inflation Forecast'!$D$11:$D$41,'Inflation Forecast'!$F$11:$F$41)</f>
        <v>1.9787931586201513E-3</v>
      </c>
      <c r="BO25" s="193">
        <f>_xlfn.XLOOKUP(YEAR(BO$24),'Inflation Forecast'!$D$11:$D$41,'Inflation Forecast'!$F$11:$F$41)</f>
        <v>1.9787931586201513E-3</v>
      </c>
      <c r="BP25" s="193">
        <f>_xlfn.XLOOKUP(YEAR(BP$24),'Inflation Forecast'!$D$11:$D$41,'Inflation Forecast'!$F$11:$F$41)</f>
        <v>1.9787931586201513E-3</v>
      </c>
      <c r="BQ25" s="193">
        <f>_xlfn.XLOOKUP(YEAR(BQ$24),'Inflation Forecast'!$D$11:$D$41,'Inflation Forecast'!$F$11:$F$41)</f>
        <v>1.9787931586201513E-3</v>
      </c>
      <c r="BR25" s="193">
        <f>_xlfn.XLOOKUP(YEAR(BR$24),'Inflation Forecast'!$D$11:$D$41,'Inflation Forecast'!$F$11:$F$41)</f>
        <v>1.9787931586201513E-3</v>
      </c>
      <c r="BS25" s="193">
        <f>_xlfn.XLOOKUP(YEAR(BS$24),'Inflation Forecast'!$D$11:$D$41,'Inflation Forecast'!$F$11:$F$41)</f>
        <v>1.9787931586201513E-3</v>
      </c>
      <c r="BT25" s="193">
        <f>_xlfn.XLOOKUP(YEAR(BT$24),'Inflation Forecast'!$D$11:$D$41,'Inflation Forecast'!$F$11:$F$41)</f>
        <v>1.9850719015326312E-3</v>
      </c>
      <c r="BU25" s="193">
        <f>_xlfn.XLOOKUP(YEAR(BU$24),'Inflation Forecast'!$D$11:$D$41,'Inflation Forecast'!$F$11:$F$41)</f>
        <v>1.9850719015326312E-3</v>
      </c>
      <c r="BV25" s="193">
        <f>_xlfn.XLOOKUP(YEAR(BV$24),'Inflation Forecast'!$D$11:$D$41,'Inflation Forecast'!$F$11:$F$41)</f>
        <v>1.9850719015326312E-3</v>
      </c>
      <c r="BW25" s="193">
        <f>_xlfn.XLOOKUP(YEAR(BW$24),'Inflation Forecast'!$D$11:$D$41,'Inflation Forecast'!$F$11:$F$41)</f>
        <v>1.9850719015326312E-3</v>
      </c>
      <c r="BX25" s="193">
        <f>_xlfn.XLOOKUP(YEAR(BX$24),'Inflation Forecast'!$D$11:$D$41,'Inflation Forecast'!$F$11:$F$41)</f>
        <v>1.9850719015326312E-3</v>
      </c>
      <c r="BY25" s="193">
        <f>_xlfn.XLOOKUP(YEAR(BY$24),'Inflation Forecast'!$D$11:$D$41,'Inflation Forecast'!$F$11:$F$41)</f>
        <v>1.9850719015326312E-3</v>
      </c>
      <c r="BZ25" s="193">
        <f>_xlfn.XLOOKUP(YEAR(BZ$24),'Inflation Forecast'!$D$11:$D$41,'Inflation Forecast'!$F$11:$F$41)</f>
        <v>1.9850719015326312E-3</v>
      </c>
      <c r="CA25" s="193">
        <f>_xlfn.XLOOKUP(YEAR(CA$24),'Inflation Forecast'!$D$11:$D$41,'Inflation Forecast'!$F$11:$F$41)</f>
        <v>1.9850719015326312E-3</v>
      </c>
      <c r="CB25" s="193">
        <f>_xlfn.XLOOKUP(YEAR(CB$24),'Inflation Forecast'!$D$11:$D$41,'Inflation Forecast'!$F$11:$F$41)</f>
        <v>1.9850719015326312E-3</v>
      </c>
      <c r="CC25" s="193">
        <f>_xlfn.XLOOKUP(YEAR(CC$24),'Inflation Forecast'!$D$11:$D$41,'Inflation Forecast'!$F$11:$F$41)</f>
        <v>1.9850719015326312E-3</v>
      </c>
      <c r="CD25" s="193">
        <f>_xlfn.XLOOKUP(YEAR(CD$24),'Inflation Forecast'!$D$11:$D$41,'Inflation Forecast'!$F$11:$F$41)</f>
        <v>1.9850719015326312E-3</v>
      </c>
      <c r="CE25" s="193">
        <f>_xlfn.XLOOKUP(YEAR(CE$24),'Inflation Forecast'!$D$11:$D$41,'Inflation Forecast'!$F$11:$F$41)</f>
        <v>1.9850719015326312E-3</v>
      </c>
      <c r="CF25" s="193">
        <f>_xlfn.XLOOKUP(YEAR(CF$24),'Inflation Forecast'!$D$11:$D$41,'Inflation Forecast'!$F$11:$F$41)</f>
        <v>1.9951005120419918E-3</v>
      </c>
      <c r="CG25" s="193">
        <f>_xlfn.XLOOKUP(YEAR(CG$24),'Inflation Forecast'!$D$11:$D$41,'Inflation Forecast'!$F$11:$F$41)</f>
        <v>1.9951005120419918E-3</v>
      </c>
      <c r="CH25" s="193">
        <f>_xlfn.XLOOKUP(YEAR(CH$24),'Inflation Forecast'!$D$11:$D$41,'Inflation Forecast'!$F$11:$F$41)</f>
        <v>1.9951005120419918E-3</v>
      </c>
      <c r="CI25" s="193">
        <f>_xlfn.XLOOKUP(YEAR(CI$24),'Inflation Forecast'!$D$11:$D$41,'Inflation Forecast'!$F$11:$F$41)</f>
        <v>1.9951005120419918E-3</v>
      </c>
      <c r="CJ25" s="193">
        <f>_xlfn.XLOOKUP(YEAR(CJ$24),'Inflation Forecast'!$D$11:$D$41,'Inflation Forecast'!$F$11:$F$41)</f>
        <v>1.9951005120419918E-3</v>
      </c>
      <c r="CK25" s="193">
        <f>_xlfn.XLOOKUP(YEAR(CK$24),'Inflation Forecast'!$D$11:$D$41,'Inflation Forecast'!$F$11:$F$41)</f>
        <v>1.9951005120419918E-3</v>
      </c>
      <c r="CL25" s="193">
        <f>_xlfn.XLOOKUP(YEAR(CL$24),'Inflation Forecast'!$D$11:$D$41,'Inflation Forecast'!$F$11:$F$41)</f>
        <v>1.9951005120419918E-3</v>
      </c>
      <c r="CM25" s="193">
        <f>_xlfn.XLOOKUP(YEAR(CM$24),'Inflation Forecast'!$D$11:$D$41,'Inflation Forecast'!$F$11:$F$41)</f>
        <v>1.9951005120419918E-3</v>
      </c>
      <c r="CN25" s="193">
        <f>_xlfn.XLOOKUP(YEAR(CN$24),'Inflation Forecast'!$D$11:$D$41,'Inflation Forecast'!$F$11:$F$41)</f>
        <v>1.9951005120419918E-3</v>
      </c>
      <c r="CO25" s="193">
        <f>_xlfn.XLOOKUP(YEAR(CO$24),'Inflation Forecast'!$D$11:$D$41,'Inflation Forecast'!$F$11:$F$41)</f>
        <v>1.9951005120419918E-3</v>
      </c>
      <c r="CP25" s="193">
        <f>_xlfn.XLOOKUP(YEAR(CP$24),'Inflation Forecast'!$D$11:$D$41,'Inflation Forecast'!$F$11:$F$41)</f>
        <v>1.9951005120419918E-3</v>
      </c>
      <c r="CQ25" s="193">
        <f>_xlfn.XLOOKUP(YEAR(CQ$24),'Inflation Forecast'!$D$11:$D$41,'Inflation Forecast'!$F$11:$F$41)</f>
        <v>1.9951005120419918E-3</v>
      </c>
      <c r="CR25" s="193">
        <f>_xlfn.XLOOKUP(YEAR(CR$24),'Inflation Forecast'!$D$11:$D$41,'Inflation Forecast'!$F$11:$F$41)</f>
        <v>2.0066242855973915E-3</v>
      </c>
      <c r="CS25" s="193">
        <f>_xlfn.XLOOKUP(YEAR(CS$24),'Inflation Forecast'!$D$11:$D$41,'Inflation Forecast'!$F$11:$F$41)</f>
        <v>2.0066242855973915E-3</v>
      </c>
      <c r="CT25" s="193">
        <f>_xlfn.XLOOKUP(YEAR(CT$24),'Inflation Forecast'!$D$11:$D$41,'Inflation Forecast'!$F$11:$F$41)</f>
        <v>2.0066242855973915E-3</v>
      </c>
      <c r="CU25" s="193">
        <f>_xlfn.XLOOKUP(YEAR(CU$24),'Inflation Forecast'!$D$11:$D$41,'Inflation Forecast'!$F$11:$F$41)</f>
        <v>2.0066242855973915E-3</v>
      </c>
      <c r="CV25" s="193">
        <f>_xlfn.XLOOKUP(YEAR(CV$24),'Inflation Forecast'!$D$11:$D$41,'Inflation Forecast'!$F$11:$F$41)</f>
        <v>2.0066242855973915E-3</v>
      </c>
      <c r="CW25" s="193">
        <f>_xlfn.XLOOKUP(YEAR(CW$24),'Inflation Forecast'!$D$11:$D$41,'Inflation Forecast'!$F$11:$F$41)</f>
        <v>2.0066242855973915E-3</v>
      </c>
      <c r="CX25" s="193">
        <f>_xlfn.XLOOKUP(YEAR(CX$24),'Inflation Forecast'!$D$11:$D$41,'Inflation Forecast'!$F$11:$F$41)</f>
        <v>2.0066242855973915E-3</v>
      </c>
      <c r="CY25" s="193">
        <f>_xlfn.XLOOKUP(YEAR(CY$24),'Inflation Forecast'!$D$11:$D$41,'Inflation Forecast'!$F$11:$F$41)</f>
        <v>2.0066242855973915E-3</v>
      </c>
      <c r="CZ25" s="193">
        <f>_xlfn.XLOOKUP(YEAR(CZ$24),'Inflation Forecast'!$D$11:$D$41,'Inflation Forecast'!$F$11:$F$41)</f>
        <v>2.0066242855973915E-3</v>
      </c>
      <c r="DA25" s="193">
        <f>_xlfn.XLOOKUP(YEAR(DA$24),'Inflation Forecast'!$D$11:$D$41,'Inflation Forecast'!$F$11:$F$41)</f>
        <v>2.0066242855973915E-3</v>
      </c>
      <c r="DB25" s="193">
        <f>_xlfn.XLOOKUP(YEAR(DB$24),'Inflation Forecast'!$D$11:$D$41,'Inflation Forecast'!$F$11:$F$41)</f>
        <v>2.0066242855973915E-3</v>
      </c>
      <c r="DC25" s="193">
        <f>_xlfn.XLOOKUP(YEAR(DC$24),'Inflation Forecast'!$D$11:$D$41,'Inflation Forecast'!$F$11:$F$41)</f>
        <v>2.0066242855973915E-3</v>
      </c>
      <c r="DD25" s="193">
        <f>_xlfn.XLOOKUP(YEAR(DD$24),'Inflation Forecast'!$D$11:$D$41,'Inflation Forecast'!$F$11:$F$41)</f>
        <v>2.0185021668581715E-3</v>
      </c>
      <c r="DE25" s="193">
        <f>_xlfn.XLOOKUP(YEAR(DE$24),'Inflation Forecast'!$D$11:$D$41,'Inflation Forecast'!$F$11:$F$41)</f>
        <v>2.0185021668581715E-3</v>
      </c>
      <c r="DF25" s="193">
        <f>_xlfn.XLOOKUP(YEAR(DF$24),'Inflation Forecast'!$D$11:$D$41,'Inflation Forecast'!$F$11:$F$41)</f>
        <v>2.0185021668581715E-3</v>
      </c>
      <c r="DG25" s="193">
        <f>_xlfn.XLOOKUP(YEAR(DG$24),'Inflation Forecast'!$D$11:$D$41,'Inflation Forecast'!$F$11:$F$41)</f>
        <v>2.0185021668581715E-3</v>
      </c>
      <c r="DH25" s="193">
        <f>_xlfn.XLOOKUP(YEAR(DH$24),'Inflation Forecast'!$D$11:$D$41,'Inflation Forecast'!$F$11:$F$41)</f>
        <v>2.0185021668581715E-3</v>
      </c>
      <c r="DI25" s="193">
        <f>_xlfn.XLOOKUP(YEAR(DI$24),'Inflation Forecast'!$D$11:$D$41,'Inflation Forecast'!$F$11:$F$41)</f>
        <v>2.0185021668581715E-3</v>
      </c>
      <c r="DJ25" s="193">
        <f>_xlfn.XLOOKUP(YEAR(DJ$24),'Inflation Forecast'!$D$11:$D$41,'Inflation Forecast'!$F$11:$F$41)</f>
        <v>2.0185021668581715E-3</v>
      </c>
      <c r="DK25" s="193">
        <f>_xlfn.XLOOKUP(YEAR(DK$24),'Inflation Forecast'!$D$11:$D$41,'Inflation Forecast'!$F$11:$F$41)</f>
        <v>2.0185021668581715E-3</v>
      </c>
      <c r="DL25" s="193">
        <f>_xlfn.XLOOKUP(YEAR(DL$24),'Inflation Forecast'!$D$11:$D$41,'Inflation Forecast'!$F$11:$F$41)</f>
        <v>2.0185021668581715E-3</v>
      </c>
      <c r="DM25" s="193">
        <f>_xlfn.XLOOKUP(YEAR(DM$24),'Inflation Forecast'!$D$11:$D$41,'Inflation Forecast'!$F$11:$F$41)</f>
        <v>2.0185021668581715E-3</v>
      </c>
      <c r="DN25" s="193">
        <f>_xlfn.XLOOKUP(YEAR(DN$24),'Inflation Forecast'!$D$11:$D$41,'Inflation Forecast'!$F$11:$F$41)</f>
        <v>2.0185021668581715E-3</v>
      </c>
      <c r="DO25" s="193">
        <f>_xlfn.XLOOKUP(YEAR(DO$24),'Inflation Forecast'!$D$11:$D$41,'Inflation Forecast'!$F$11:$F$41)</f>
        <v>2.0185021668581715E-3</v>
      </c>
      <c r="DP25" s="193">
        <f>_xlfn.XLOOKUP(YEAR(DP$24),'Inflation Forecast'!$D$11:$D$41,'Inflation Forecast'!$F$11:$F$41)</f>
        <v>2.0301862139855409E-3</v>
      </c>
      <c r="DQ25" s="193">
        <f>_xlfn.XLOOKUP(YEAR(DQ$24),'Inflation Forecast'!$D$11:$D$41,'Inflation Forecast'!$F$11:$F$41)</f>
        <v>2.0301862139855409E-3</v>
      </c>
      <c r="DR25" s="193">
        <f>_xlfn.XLOOKUP(YEAR(DR$24),'Inflation Forecast'!$D$11:$D$41,'Inflation Forecast'!$F$11:$F$41)</f>
        <v>2.0301862139855409E-3</v>
      </c>
      <c r="DS25" s="193">
        <f>_xlfn.XLOOKUP(YEAR(DS$24),'Inflation Forecast'!$D$11:$D$41,'Inflation Forecast'!$F$11:$F$41)</f>
        <v>2.0301862139855409E-3</v>
      </c>
      <c r="DT25" s="193">
        <f>_xlfn.XLOOKUP(YEAR(DT$24),'Inflation Forecast'!$D$11:$D$41,'Inflation Forecast'!$F$11:$F$41)</f>
        <v>2.0301862139855409E-3</v>
      </c>
      <c r="DU25" s="193">
        <f>_xlfn.XLOOKUP(YEAR(DU$24),'Inflation Forecast'!$D$11:$D$41,'Inflation Forecast'!$F$11:$F$41)</f>
        <v>2.0301862139855409E-3</v>
      </c>
      <c r="DV25" s="193">
        <f>_xlfn.XLOOKUP(YEAR(DV$24),'Inflation Forecast'!$D$11:$D$41,'Inflation Forecast'!$F$11:$F$41)</f>
        <v>2.0301862139855409E-3</v>
      </c>
      <c r="DW25" s="193">
        <f>_xlfn.XLOOKUP(YEAR(DW$24),'Inflation Forecast'!$D$11:$D$41,'Inflation Forecast'!$F$11:$F$41)</f>
        <v>2.0301862139855409E-3</v>
      </c>
      <c r="DX25" s="193">
        <f>_xlfn.XLOOKUP(YEAR(DX$24),'Inflation Forecast'!$D$11:$D$41,'Inflation Forecast'!$F$11:$F$41)</f>
        <v>2.0301862139855409E-3</v>
      </c>
      <c r="DY25" s="193">
        <f>_xlfn.XLOOKUP(YEAR(DY$24),'Inflation Forecast'!$D$11:$D$41,'Inflation Forecast'!$F$11:$F$41)</f>
        <v>2.0301862139855409E-3</v>
      </c>
      <c r="DZ25" s="193">
        <f>_xlfn.XLOOKUP(YEAR(DZ$24),'Inflation Forecast'!$D$11:$D$41,'Inflation Forecast'!$F$11:$F$41)</f>
        <v>2.0301862139855409E-3</v>
      </c>
      <c r="EA25" s="193">
        <f>_xlfn.XLOOKUP(YEAR(EA$24),'Inflation Forecast'!$D$11:$D$41,'Inflation Forecast'!$F$11:$F$41)</f>
        <v>2.0301862139855409E-3</v>
      </c>
      <c r="EB25" s="193">
        <f>_xlfn.XLOOKUP(YEAR(EB$24),'Inflation Forecast'!$D$11:$D$41,'Inflation Forecast'!$F$11:$F$41)</f>
        <v>2.0414120550771298E-3</v>
      </c>
      <c r="EC25" s="193">
        <f>_xlfn.XLOOKUP(YEAR(EC$24),'Inflation Forecast'!$D$11:$D$41,'Inflation Forecast'!$F$11:$F$41)</f>
        <v>2.0414120550771298E-3</v>
      </c>
      <c r="ED25" s="193">
        <f>_xlfn.XLOOKUP(YEAR(ED$24),'Inflation Forecast'!$D$11:$D$41,'Inflation Forecast'!$F$11:$F$41)</f>
        <v>2.0414120550771298E-3</v>
      </c>
      <c r="EE25" s="193">
        <f>_xlfn.XLOOKUP(YEAR(EE$24),'Inflation Forecast'!$D$11:$D$41,'Inflation Forecast'!$F$11:$F$41)</f>
        <v>2.0414120550771298E-3</v>
      </c>
      <c r="EF25" s="193">
        <f>_xlfn.XLOOKUP(YEAR(EF$24),'Inflation Forecast'!$D$11:$D$41,'Inflation Forecast'!$F$11:$F$41)</f>
        <v>2.0414120550771298E-3</v>
      </c>
      <c r="EG25" s="193">
        <f>_xlfn.XLOOKUP(YEAR(EG$24),'Inflation Forecast'!$D$11:$D$41,'Inflation Forecast'!$F$11:$F$41)</f>
        <v>2.0414120550771298E-3</v>
      </c>
      <c r="EH25" s="193">
        <f>_xlfn.XLOOKUP(YEAR(EH$24),'Inflation Forecast'!$D$11:$D$41,'Inflation Forecast'!$F$11:$F$41)</f>
        <v>2.0414120550771298E-3</v>
      </c>
      <c r="EI25" s="193">
        <f>_xlfn.XLOOKUP(YEAR(EI$24),'Inflation Forecast'!$D$11:$D$41,'Inflation Forecast'!$F$11:$F$41)</f>
        <v>2.0414120550771298E-3</v>
      </c>
      <c r="EJ25" s="193">
        <f>_xlfn.XLOOKUP(YEAR(EJ$24),'Inflation Forecast'!$D$11:$D$41,'Inflation Forecast'!$F$11:$F$41)</f>
        <v>2.0414120550771298E-3</v>
      </c>
      <c r="EK25" s="193">
        <f>_xlfn.XLOOKUP(YEAR(EK$24),'Inflation Forecast'!$D$11:$D$41,'Inflation Forecast'!$F$11:$F$41)</f>
        <v>2.0414120550771298E-3</v>
      </c>
      <c r="EL25" s="193">
        <f>_xlfn.XLOOKUP(YEAR(EL$24),'Inflation Forecast'!$D$11:$D$41,'Inflation Forecast'!$F$11:$F$41)</f>
        <v>2.0414120550771298E-3</v>
      </c>
      <c r="EM25" s="193">
        <f>_xlfn.XLOOKUP(YEAR(EM$24),'Inflation Forecast'!$D$11:$D$41,'Inflation Forecast'!$F$11:$F$41)</f>
        <v>2.0414120550771298E-3</v>
      </c>
      <c r="EN25" s="193">
        <f>_xlfn.XLOOKUP(YEAR(EN$24),'Inflation Forecast'!$D$11:$D$41,'Inflation Forecast'!$F$11:$F$41)</f>
        <v>2.0520706262119326E-3</v>
      </c>
      <c r="EO25" s="193">
        <f>_xlfn.XLOOKUP(YEAR(EO$24),'Inflation Forecast'!$D$11:$D$41,'Inflation Forecast'!$F$11:$F$41)</f>
        <v>2.0520706262119326E-3</v>
      </c>
      <c r="EP25" s="193">
        <f>_xlfn.XLOOKUP(YEAR(EP$24),'Inflation Forecast'!$D$11:$D$41,'Inflation Forecast'!$F$11:$F$41)</f>
        <v>2.0520706262119326E-3</v>
      </c>
      <c r="EQ25" s="193">
        <f>_xlfn.XLOOKUP(YEAR(EQ$24),'Inflation Forecast'!$D$11:$D$41,'Inflation Forecast'!$F$11:$F$41)</f>
        <v>2.0520706262119326E-3</v>
      </c>
      <c r="ER25" s="193">
        <f>_xlfn.XLOOKUP(YEAR(ER$24),'Inflation Forecast'!$D$11:$D$41,'Inflation Forecast'!$F$11:$F$41)</f>
        <v>2.0520706262119326E-3</v>
      </c>
      <c r="ES25" s="193">
        <f>_xlfn.XLOOKUP(YEAR(ES$24),'Inflation Forecast'!$D$11:$D$41,'Inflation Forecast'!$F$11:$F$41)</f>
        <v>2.0520706262119326E-3</v>
      </c>
      <c r="ET25" s="193">
        <f>_xlfn.XLOOKUP(YEAR(ET$24),'Inflation Forecast'!$D$11:$D$41,'Inflation Forecast'!$F$11:$F$41)</f>
        <v>2.0520706262119326E-3</v>
      </c>
      <c r="EU25" s="193">
        <f>_xlfn.XLOOKUP(YEAR(EU$24),'Inflation Forecast'!$D$11:$D$41,'Inflation Forecast'!$F$11:$F$41)</f>
        <v>2.0520706262119326E-3</v>
      </c>
      <c r="EV25" s="193">
        <f>_xlfn.XLOOKUP(YEAR(EV$24),'Inflation Forecast'!$D$11:$D$41,'Inflation Forecast'!$F$11:$F$41)</f>
        <v>2.0520706262119326E-3</v>
      </c>
      <c r="EW25" s="193">
        <f>_xlfn.XLOOKUP(YEAR(EW$24),'Inflation Forecast'!$D$11:$D$41,'Inflation Forecast'!$F$11:$F$41)</f>
        <v>2.0520706262119326E-3</v>
      </c>
      <c r="EX25" s="193">
        <f>_xlfn.XLOOKUP(YEAR(EX$24),'Inflation Forecast'!$D$11:$D$41,'Inflation Forecast'!$F$11:$F$41)</f>
        <v>2.0520706262119326E-3</v>
      </c>
      <c r="EY25" s="193">
        <f>_xlfn.XLOOKUP(YEAR(EY$24),'Inflation Forecast'!$D$11:$D$41,'Inflation Forecast'!$F$11:$F$41)</f>
        <v>2.0520706262119326E-3</v>
      </c>
      <c r="EZ25" s="193">
        <f>_xlfn.XLOOKUP(YEAR(EZ$24),'Inflation Forecast'!$D$11:$D$41,'Inflation Forecast'!$F$11:$F$41)</f>
        <v>2.0621183533728882E-3</v>
      </c>
      <c r="FA25" s="193">
        <f>_xlfn.XLOOKUP(YEAR(FA$24),'Inflation Forecast'!$D$11:$D$41,'Inflation Forecast'!$F$11:$F$41)</f>
        <v>2.0621183533728882E-3</v>
      </c>
      <c r="FB25" s="193">
        <f>_xlfn.XLOOKUP(YEAR(FB$24),'Inflation Forecast'!$D$11:$D$41,'Inflation Forecast'!$F$11:$F$41)</f>
        <v>2.0621183533728882E-3</v>
      </c>
      <c r="FC25" s="193">
        <f>_xlfn.XLOOKUP(YEAR(FC$24),'Inflation Forecast'!$D$11:$D$41,'Inflation Forecast'!$F$11:$F$41)</f>
        <v>2.0621183533728882E-3</v>
      </c>
      <c r="FD25" s="193">
        <f>_xlfn.XLOOKUP(YEAR(FD$24),'Inflation Forecast'!$D$11:$D$41,'Inflation Forecast'!$F$11:$F$41)</f>
        <v>2.0621183533728882E-3</v>
      </c>
      <c r="FE25" s="193">
        <f>_xlfn.XLOOKUP(YEAR(FE$24),'Inflation Forecast'!$D$11:$D$41,'Inflation Forecast'!$F$11:$F$41)</f>
        <v>2.0621183533728882E-3</v>
      </c>
      <c r="FF25" s="193">
        <f>_xlfn.XLOOKUP(YEAR(FF$24),'Inflation Forecast'!$D$11:$D$41,'Inflation Forecast'!$F$11:$F$41)</f>
        <v>2.0621183533728882E-3</v>
      </c>
      <c r="FG25" s="193">
        <f>_xlfn.XLOOKUP(YEAR(FG$24),'Inflation Forecast'!$D$11:$D$41,'Inflation Forecast'!$F$11:$F$41)</f>
        <v>2.0621183533728882E-3</v>
      </c>
      <c r="FH25" s="193">
        <f>_xlfn.XLOOKUP(YEAR(FH$24),'Inflation Forecast'!$D$11:$D$41,'Inflation Forecast'!$F$11:$F$41)</f>
        <v>2.0621183533728882E-3</v>
      </c>
      <c r="FI25" s="193">
        <f>_xlfn.XLOOKUP(YEAR(FI$24),'Inflation Forecast'!$D$11:$D$41,'Inflation Forecast'!$F$11:$F$41)</f>
        <v>2.0621183533728882E-3</v>
      </c>
      <c r="FJ25" s="193">
        <f>_xlfn.XLOOKUP(YEAR(FJ$24),'Inflation Forecast'!$D$11:$D$41,'Inflation Forecast'!$F$11:$F$41)</f>
        <v>2.0621183533728882E-3</v>
      </c>
      <c r="FK25" s="193">
        <f>_xlfn.XLOOKUP(YEAR(FK$24),'Inflation Forecast'!$D$11:$D$41,'Inflation Forecast'!$F$11:$F$41)</f>
        <v>2.0621183533728882E-3</v>
      </c>
      <c r="FL25" s="193">
        <f>_xlfn.XLOOKUP(YEAR(FL$24),'Inflation Forecast'!$D$11:$D$41,'Inflation Forecast'!$F$11:$F$41)</f>
        <v>2.0715644272037981E-3</v>
      </c>
      <c r="FM25" s="193">
        <f>_xlfn.XLOOKUP(YEAR(FM$24),'Inflation Forecast'!$D$11:$D$41,'Inflation Forecast'!$F$11:$F$41)</f>
        <v>2.0715644272037981E-3</v>
      </c>
      <c r="FN25" s="193">
        <f>_xlfn.XLOOKUP(YEAR(FN$24),'Inflation Forecast'!$D$11:$D$41,'Inflation Forecast'!$F$11:$F$41)</f>
        <v>2.0715644272037981E-3</v>
      </c>
      <c r="FO25" s="193">
        <f>_xlfn.XLOOKUP(YEAR(FO$24),'Inflation Forecast'!$D$11:$D$41,'Inflation Forecast'!$F$11:$F$41)</f>
        <v>2.0715644272037981E-3</v>
      </c>
      <c r="FP25" s="193">
        <f>_xlfn.XLOOKUP(YEAR(FP$24),'Inflation Forecast'!$D$11:$D$41,'Inflation Forecast'!$F$11:$F$41)</f>
        <v>2.0715644272037981E-3</v>
      </c>
      <c r="FQ25" s="193">
        <f>_xlfn.XLOOKUP(YEAR(FQ$24),'Inflation Forecast'!$D$11:$D$41,'Inflation Forecast'!$F$11:$F$41)</f>
        <v>2.0715644272037981E-3</v>
      </c>
      <c r="FR25" s="193">
        <f>_xlfn.XLOOKUP(YEAR(FR$24),'Inflation Forecast'!$D$11:$D$41,'Inflation Forecast'!$F$11:$F$41)</f>
        <v>2.0715644272037981E-3</v>
      </c>
      <c r="FS25" s="193">
        <f>_xlfn.XLOOKUP(YEAR(FS$24),'Inflation Forecast'!$D$11:$D$41,'Inflation Forecast'!$F$11:$F$41)</f>
        <v>2.0715644272037981E-3</v>
      </c>
      <c r="FT25" s="193">
        <f>_xlfn.XLOOKUP(YEAR(FT$24),'Inflation Forecast'!$D$11:$D$41,'Inflation Forecast'!$F$11:$F$41)</f>
        <v>2.0715644272037981E-3</v>
      </c>
      <c r="FU25" s="193">
        <f>_xlfn.XLOOKUP(YEAR(FU$24),'Inflation Forecast'!$D$11:$D$41,'Inflation Forecast'!$F$11:$F$41)</f>
        <v>2.0715644272037981E-3</v>
      </c>
      <c r="FV25" s="193">
        <f>_xlfn.XLOOKUP(YEAR(FV$24),'Inflation Forecast'!$D$11:$D$41,'Inflation Forecast'!$F$11:$F$41)</f>
        <v>2.0715644272037981E-3</v>
      </c>
      <c r="FW25" s="193">
        <f>_xlfn.XLOOKUP(YEAR(FW$24),'Inflation Forecast'!$D$11:$D$41,'Inflation Forecast'!$F$11:$F$41)</f>
        <v>2.0715644272037981E-3</v>
      </c>
      <c r="FX25" s="193">
        <f>_xlfn.XLOOKUP(YEAR(FX$24),'Inflation Forecast'!$D$11:$D$41,'Inflation Forecast'!$F$11:$F$41)</f>
        <v>2.0804258829554279E-3</v>
      </c>
      <c r="FY25" s="193">
        <f>_xlfn.XLOOKUP(YEAR(FY$24),'Inflation Forecast'!$D$11:$D$41,'Inflation Forecast'!$F$11:$F$41)</f>
        <v>2.0804258829554279E-3</v>
      </c>
      <c r="FZ25" s="193">
        <f>_xlfn.XLOOKUP(YEAR(FZ$24),'Inflation Forecast'!$D$11:$D$41,'Inflation Forecast'!$F$11:$F$41)</f>
        <v>2.0804258829554279E-3</v>
      </c>
      <c r="GA25" s="193">
        <f>_xlfn.XLOOKUP(YEAR(GA$24),'Inflation Forecast'!$D$11:$D$41,'Inflation Forecast'!$F$11:$F$41)</f>
        <v>2.0804258829554279E-3</v>
      </c>
      <c r="GB25" s="193">
        <f>_xlfn.XLOOKUP(YEAR(GB$24),'Inflation Forecast'!$D$11:$D$41,'Inflation Forecast'!$F$11:$F$41)</f>
        <v>2.0804258829554279E-3</v>
      </c>
      <c r="GC25" s="193">
        <f>_xlfn.XLOOKUP(YEAR(GC$24),'Inflation Forecast'!$D$11:$D$41,'Inflation Forecast'!$F$11:$F$41)</f>
        <v>2.0804258829554279E-3</v>
      </c>
      <c r="GD25" s="193">
        <f>_xlfn.XLOOKUP(YEAR(GD$24),'Inflation Forecast'!$D$11:$D$41,'Inflation Forecast'!$F$11:$F$41)</f>
        <v>2.0804258829554279E-3</v>
      </c>
      <c r="GE25" s="193">
        <f>_xlfn.XLOOKUP(YEAR(GE$24),'Inflation Forecast'!$D$11:$D$41,'Inflation Forecast'!$F$11:$F$41)</f>
        <v>2.0804258829554279E-3</v>
      </c>
      <c r="GF25" s="193">
        <f>_xlfn.XLOOKUP(YEAR(GF$24),'Inflation Forecast'!$D$11:$D$41,'Inflation Forecast'!$F$11:$F$41)</f>
        <v>2.0804258829554279E-3</v>
      </c>
      <c r="GG25" s="193">
        <f>_xlfn.XLOOKUP(YEAR(GG$24),'Inflation Forecast'!$D$11:$D$41,'Inflation Forecast'!$F$11:$F$41)</f>
        <v>2.0804258829554279E-3</v>
      </c>
      <c r="GH25" s="193">
        <f>_xlfn.XLOOKUP(YEAR(GH$24),'Inflation Forecast'!$D$11:$D$41,'Inflation Forecast'!$F$11:$F$41)</f>
        <v>2.0804258829554279E-3</v>
      </c>
      <c r="GI25" s="193">
        <f>_xlfn.XLOOKUP(YEAR(GI$24),'Inflation Forecast'!$D$11:$D$41,'Inflation Forecast'!$F$11:$F$41)</f>
        <v>2.0804258829554279E-3</v>
      </c>
      <c r="GJ25" s="193">
        <f>_xlfn.XLOOKUP(YEAR(GJ$24),'Inflation Forecast'!$D$11:$D$41,'Inflation Forecast'!$F$11:$F$41)</f>
        <v>2.0887323262328561E-3</v>
      </c>
      <c r="GK25" s="193">
        <f>_xlfn.XLOOKUP(YEAR(GK$24),'Inflation Forecast'!$D$11:$D$41,'Inflation Forecast'!$F$11:$F$41)</f>
        <v>2.0887323262328561E-3</v>
      </c>
      <c r="GL25" s="193">
        <f>_xlfn.XLOOKUP(YEAR(GL$24),'Inflation Forecast'!$D$11:$D$41,'Inflation Forecast'!$F$11:$F$41)</f>
        <v>2.0887323262328561E-3</v>
      </c>
      <c r="GM25" s="193">
        <f>_xlfn.XLOOKUP(YEAR(GM$24),'Inflation Forecast'!$D$11:$D$41,'Inflation Forecast'!$F$11:$F$41)</f>
        <v>2.0887323262328561E-3</v>
      </c>
      <c r="GN25" s="193">
        <f>_xlfn.XLOOKUP(YEAR(GN$24),'Inflation Forecast'!$D$11:$D$41,'Inflation Forecast'!$F$11:$F$41)</f>
        <v>2.0887323262328561E-3</v>
      </c>
      <c r="GO25" s="193">
        <f>_xlfn.XLOOKUP(YEAR(GO$24),'Inflation Forecast'!$D$11:$D$41,'Inflation Forecast'!$F$11:$F$41)</f>
        <v>2.0887323262328561E-3</v>
      </c>
      <c r="GP25" s="193">
        <f>_xlfn.XLOOKUP(YEAR(GP$24),'Inflation Forecast'!$D$11:$D$41,'Inflation Forecast'!$F$11:$F$41)</f>
        <v>2.0887323262328561E-3</v>
      </c>
      <c r="GQ25" s="193">
        <f>_xlfn.XLOOKUP(YEAR(GQ$24),'Inflation Forecast'!$D$11:$D$41,'Inflation Forecast'!$F$11:$F$41)</f>
        <v>2.0887323262328561E-3</v>
      </c>
      <c r="GR25" s="193">
        <f>_xlfn.XLOOKUP(YEAR(GR$24),'Inflation Forecast'!$D$11:$D$41,'Inflation Forecast'!$F$11:$F$41)</f>
        <v>2.0887323262328561E-3</v>
      </c>
      <c r="GS25" s="193">
        <f>_xlfn.XLOOKUP(YEAR(GS$24),'Inflation Forecast'!$D$11:$D$41,'Inflation Forecast'!$F$11:$F$41)</f>
        <v>2.0887323262328561E-3</v>
      </c>
      <c r="GT25" s="193">
        <f>_xlfn.XLOOKUP(YEAR(GT$24),'Inflation Forecast'!$D$11:$D$41,'Inflation Forecast'!$F$11:$F$41)</f>
        <v>2.0887323262328561E-3</v>
      </c>
      <c r="GU25" s="193">
        <f>_xlfn.XLOOKUP(YEAR(GU$24),'Inflation Forecast'!$D$11:$D$41,'Inflation Forecast'!$F$11:$F$41)</f>
        <v>2.0887323262328561E-3</v>
      </c>
      <c r="GV25" s="193">
        <f>_xlfn.XLOOKUP(YEAR(GV$24),'Inflation Forecast'!$D$11:$D$41,'Inflation Forecast'!$F$11:$F$41)</f>
        <v>2.0965084648432164E-3</v>
      </c>
      <c r="GW25" s="193">
        <f>_xlfn.XLOOKUP(YEAR(GW$24),'Inflation Forecast'!$D$11:$D$41,'Inflation Forecast'!$F$11:$F$41)</f>
        <v>2.0965084648432164E-3</v>
      </c>
      <c r="GX25" s="193">
        <f>_xlfn.XLOOKUP(YEAR(GX$24),'Inflation Forecast'!$D$11:$D$41,'Inflation Forecast'!$F$11:$F$41)</f>
        <v>2.0965084648432164E-3</v>
      </c>
      <c r="GY25" s="193">
        <f>_xlfn.XLOOKUP(YEAR(GY$24),'Inflation Forecast'!$D$11:$D$41,'Inflation Forecast'!$F$11:$F$41)</f>
        <v>2.0965084648432164E-3</v>
      </c>
      <c r="GZ25" s="193">
        <f>_xlfn.XLOOKUP(YEAR(GZ$24),'Inflation Forecast'!$D$11:$D$41,'Inflation Forecast'!$F$11:$F$41)</f>
        <v>2.0965084648432164E-3</v>
      </c>
      <c r="HA25" s="193">
        <f>_xlfn.XLOOKUP(YEAR(HA$24),'Inflation Forecast'!$D$11:$D$41,'Inflation Forecast'!$F$11:$F$41)</f>
        <v>2.0965084648432164E-3</v>
      </c>
      <c r="HB25" s="193">
        <f>_xlfn.XLOOKUP(YEAR(HB$24),'Inflation Forecast'!$D$11:$D$41,'Inflation Forecast'!$F$11:$F$41)</f>
        <v>2.0965084648432164E-3</v>
      </c>
      <c r="HC25" s="193">
        <f>_xlfn.XLOOKUP(YEAR(HC$24),'Inflation Forecast'!$D$11:$D$41,'Inflation Forecast'!$F$11:$F$41)</f>
        <v>2.0965084648432164E-3</v>
      </c>
      <c r="HD25" s="193">
        <f>_xlfn.XLOOKUP(YEAR(HD$24),'Inflation Forecast'!$D$11:$D$41,'Inflation Forecast'!$F$11:$F$41)</f>
        <v>2.0965084648432164E-3</v>
      </c>
      <c r="HE25" s="193">
        <f>_xlfn.XLOOKUP(YEAR(HE$24),'Inflation Forecast'!$D$11:$D$41,'Inflation Forecast'!$F$11:$F$41)</f>
        <v>2.0965084648432164E-3</v>
      </c>
      <c r="HF25" s="193">
        <f>_xlfn.XLOOKUP(YEAR(HF$24),'Inflation Forecast'!$D$11:$D$41,'Inflation Forecast'!$F$11:$F$41)</f>
        <v>2.0965084648432164E-3</v>
      </c>
      <c r="HG25" s="193">
        <f>_xlfn.XLOOKUP(YEAR(HG$24),'Inflation Forecast'!$D$11:$D$41,'Inflation Forecast'!$F$11:$F$41)</f>
        <v>2.0965084648432164E-3</v>
      </c>
      <c r="HH25" s="193">
        <f>_xlfn.XLOOKUP(YEAR(HH$24),'Inflation Forecast'!$D$11:$D$41,'Inflation Forecast'!$F$11:$F$41)</f>
        <v>2.1037913650201467E-3</v>
      </c>
      <c r="HI25" s="193">
        <f>_xlfn.XLOOKUP(YEAR(HI$24),'Inflation Forecast'!$D$11:$D$41,'Inflation Forecast'!$F$11:$F$41)</f>
        <v>2.1037913650201467E-3</v>
      </c>
      <c r="HJ25" s="193">
        <f>_xlfn.XLOOKUP(YEAR(HJ$24),'Inflation Forecast'!$D$11:$D$41,'Inflation Forecast'!$F$11:$F$41)</f>
        <v>2.1037913650201467E-3</v>
      </c>
      <c r="HK25" s="193">
        <f>_xlfn.XLOOKUP(YEAR(HK$24),'Inflation Forecast'!$D$11:$D$41,'Inflation Forecast'!$F$11:$F$41)</f>
        <v>2.1037913650201467E-3</v>
      </c>
      <c r="HL25" s="193">
        <f>_xlfn.XLOOKUP(YEAR(HL$24),'Inflation Forecast'!$D$11:$D$41,'Inflation Forecast'!$F$11:$F$41)</f>
        <v>2.1037913650201467E-3</v>
      </c>
      <c r="HM25" s="193">
        <f>_xlfn.XLOOKUP(YEAR(HM$24),'Inflation Forecast'!$D$11:$D$41,'Inflation Forecast'!$F$11:$F$41)</f>
        <v>2.1037913650201467E-3</v>
      </c>
      <c r="HN25" s="193">
        <f>_xlfn.XLOOKUP(YEAR(HN$24),'Inflation Forecast'!$D$11:$D$41,'Inflation Forecast'!$F$11:$F$41)</f>
        <v>2.1037913650201467E-3</v>
      </c>
      <c r="HO25" s="193">
        <f>_xlfn.XLOOKUP(YEAR(HO$24),'Inflation Forecast'!$D$11:$D$41,'Inflation Forecast'!$F$11:$F$41)</f>
        <v>2.1037913650201467E-3</v>
      </c>
      <c r="HP25" s="193">
        <f>_xlfn.XLOOKUP(YEAR(HP$24),'Inflation Forecast'!$D$11:$D$41,'Inflation Forecast'!$F$11:$F$41)</f>
        <v>2.1037913650201467E-3</v>
      </c>
      <c r="HQ25" s="193">
        <f>_xlfn.XLOOKUP(YEAR(HQ$24),'Inflation Forecast'!$D$11:$D$41,'Inflation Forecast'!$F$11:$F$41)</f>
        <v>2.1037913650201467E-3</v>
      </c>
      <c r="HR25" s="193">
        <f>_xlfn.XLOOKUP(YEAR(HR$24),'Inflation Forecast'!$D$11:$D$41,'Inflation Forecast'!$F$11:$F$41)</f>
        <v>2.1037913650201467E-3</v>
      </c>
      <c r="HS25" s="193">
        <f>_xlfn.XLOOKUP(YEAR(HS$24),'Inflation Forecast'!$D$11:$D$41,'Inflation Forecast'!$F$11:$F$41)</f>
        <v>2.1037913650201467E-3</v>
      </c>
      <c r="HT25" s="193">
        <f>_xlfn.XLOOKUP(YEAR(HT$24),'Inflation Forecast'!$D$11:$D$41,'Inflation Forecast'!$F$11:$F$41)</f>
        <v>2.1106094489231619E-3</v>
      </c>
      <c r="HU25" s="193">
        <f>_xlfn.XLOOKUP(YEAR(HU$24),'Inflation Forecast'!$D$11:$D$41,'Inflation Forecast'!$F$11:$F$41)</f>
        <v>2.1106094489231619E-3</v>
      </c>
      <c r="HV25" s="193">
        <f>_xlfn.XLOOKUP(YEAR(HV$24),'Inflation Forecast'!$D$11:$D$41,'Inflation Forecast'!$F$11:$F$41)</f>
        <v>2.1106094489231619E-3</v>
      </c>
      <c r="HW25" s="193">
        <f>_xlfn.XLOOKUP(YEAR(HW$24),'Inflation Forecast'!$D$11:$D$41,'Inflation Forecast'!$F$11:$F$41)</f>
        <v>2.1106094489231619E-3</v>
      </c>
      <c r="HX25" s="193">
        <f>_xlfn.XLOOKUP(YEAR(HX$24),'Inflation Forecast'!$D$11:$D$41,'Inflation Forecast'!$F$11:$F$41)</f>
        <v>2.1106094489231619E-3</v>
      </c>
      <c r="HY25" s="193">
        <f>_xlfn.XLOOKUP(YEAR(HY$24),'Inflation Forecast'!$D$11:$D$41,'Inflation Forecast'!$F$11:$F$41)</f>
        <v>2.1106094489231619E-3</v>
      </c>
      <c r="HZ25" s="193">
        <f>_xlfn.XLOOKUP(YEAR(HZ$24),'Inflation Forecast'!$D$11:$D$41,'Inflation Forecast'!$F$11:$F$41)</f>
        <v>2.1106094489231619E-3</v>
      </c>
      <c r="IA25" s="193">
        <f>_xlfn.XLOOKUP(YEAR(IA$24),'Inflation Forecast'!$D$11:$D$41,'Inflation Forecast'!$F$11:$F$41)</f>
        <v>2.1106094489231619E-3</v>
      </c>
      <c r="IB25" s="193">
        <f>_xlfn.XLOOKUP(YEAR(IB$24),'Inflation Forecast'!$D$11:$D$41,'Inflation Forecast'!$F$11:$F$41)</f>
        <v>2.1106094489231619E-3</v>
      </c>
      <c r="IC25" s="193">
        <f>_xlfn.XLOOKUP(YEAR(IC$24),'Inflation Forecast'!$D$11:$D$41,'Inflation Forecast'!$F$11:$F$41)</f>
        <v>2.1106094489231619E-3</v>
      </c>
      <c r="ID25" s="193">
        <f>_xlfn.XLOOKUP(YEAR(ID$24),'Inflation Forecast'!$D$11:$D$41,'Inflation Forecast'!$F$11:$F$41)</f>
        <v>2.1106094489231619E-3</v>
      </c>
      <c r="IE25" s="193">
        <f>_xlfn.XLOOKUP(YEAR(IE$24),'Inflation Forecast'!$D$11:$D$41,'Inflation Forecast'!$F$11:$F$41)</f>
        <v>2.1106094489231619E-3</v>
      </c>
      <c r="IF25" s="193">
        <f>_xlfn.XLOOKUP(YEAR(IF$24),'Inflation Forecast'!$D$11:$D$41,'Inflation Forecast'!$F$11:$F$41)</f>
        <v>2.1169933345304148E-3</v>
      </c>
      <c r="IG25" s="193">
        <f>_xlfn.XLOOKUP(YEAR(IG$24),'Inflation Forecast'!$D$11:$D$41,'Inflation Forecast'!$F$11:$F$41)</f>
        <v>2.1169933345304148E-3</v>
      </c>
      <c r="IH25" s="193">
        <f>_xlfn.XLOOKUP(YEAR(IH$24),'Inflation Forecast'!$D$11:$D$41,'Inflation Forecast'!$F$11:$F$41)</f>
        <v>2.1169933345304148E-3</v>
      </c>
      <c r="II25" s="193">
        <f>_xlfn.XLOOKUP(YEAR(II$24),'Inflation Forecast'!$D$11:$D$41,'Inflation Forecast'!$F$11:$F$41)</f>
        <v>2.1169933345304148E-3</v>
      </c>
      <c r="IJ25" s="193">
        <f>_xlfn.XLOOKUP(YEAR(IJ$24),'Inflation Forecast'!$D$11:$D$41,'Inflation Forecast'!$F$11:$F$41)</f>
        <v>2.1169933345304148E-3</v>
      </c>
      <c r="IK25" s="193">
        <f>_xlfn.XLOOKUP(YEAR(IK$24),'Inflation Forecast'!$D$11:$D$41,'Inflation Forecast'!$F$11:$F$41)</f>
        <v>2.1169933345304148E-3</v>
      </c>
      <c r="IL25" s="193">
        <f>_xlfn.XLOOKUP(YEAR(IL$24),'Inflation Forecast'!$D$11:$D$41,'Inflation Forecast'!$F$11:$F$41)</f>
        <v>2.1169933345304148E-3</v>
      </c>
      <c r="IM25" s="193">
        <f>_xlfn.XLOOKUP(YEAR(IM$24),'Inflation Forecast'!$D$11:$D$41,'Inflation Forecast'!$F$11:$F$41)</f>
        <v>2.1169933345304148E-3</v>
      </c>
      <c r="IN25" s="193">
        <f>_xlfn.XLOOKUP(YEAR(IN$24),'Inflation Forecast'!$D$11:$D$41,'Inflation Forecast'!$F$11:$F$41)</f>
        <v>2.1169933345304148E-3</v>
      </c>
      <c r="IO25" s="193">
        <f>_xlfn.XLOOKUP(YEAR(IO$24),'Inflation Forecast'!$D$11:$D$41,'Inflation Forecast'!$F$11:$F$41)</f>
        <v>2.1169933345304148E-3</v>
      </c>
      <c r="IP25" s="193">
        <f>_xlfn.XLOOKUP(YEAR(IP$24),'Inflation Forecast'!$D$11:$D$41,'Inflation Forecast'!$F$11:$F$41)</f>
        <v>2.1169933345304148E-3</v>
      </c>
      <c r="IQ25" s="193">
        <f>_xlfn.XLOOKUP(YEAR(IQ$24),'Inflation Forecast'!$D$11:$D$41,'Inflation Forecast'!$F$11:$F$41)</f>
        <v>2.1169933345304148E-3</v>
      </c>
      <c r="IR25" s="193">
        <f>_xlfn.XLOOKUP(YEAR(IR$24),'Inflation Forecast'!$D$11:$D$41,'Inflation Forecast'!$F$11:$F$41)</f>
        <v>2.122966027451989E-3</v>
      </c>
      <c r="IS25" s="193">
        <f>_xlfn.XLOOKUP(YEAR(IS$24),'Inflation Forecast'!$D$11:$D$41,'Inflation Forecast'!$F$11:$F$41)</f>
        <v>2.122966027451989E-3</v>
      </c>
      <c r="IT25" s="193">
        <f>_xlfn.XLOOKUP(YEAR(IT$24),'Inflation Forecast'!$D$11:$D$41,'Inflation Forecast'!$F$11:$F$41)</f>
        <v>2.122966027451989E-3</v>
      </c>
      <c r="IU25" s="193">
        <f>_xlfn.XLOOKUP(YEAR(IU$24),'Inflation Forecast'!$D$11:$D$41,'Inflation Forecast'!$F$11:$F$41)</f>
        <v>2.122966027451989E-3</v>
      </c>
      <c r="IV25" s="193">
        <f>_xlfn.XLOOKUP(YEAR(IV$24),'Inflation Forecast'!$D$11:$D$41,'Inflation Forecast'!$F$11:$F$41)</f>
        <v>2.122966027451989E-3</v>
      </c>
      <c r="IW25" s="193">
        <f>_xlfn.XLOOKUP(YEAR(IW$24),'Inflation Forecast'!$D$11:$D$41,'Inflation Forecast'!$F$11:$F$41)</f>
        <v>2.122966027451989E-3</v>
      </c>
      <c r="IX25" s="193">
        <f>_xlfn.XLOOKUP(YEAR(IX$24),'Inflation Forecast'!$D$11:$D$41,'Inflation Forecast'!$F$11:$F$41)</f>
        <v>2.122966027451989E-3</v>
      </c>
      <c r="IY25" s="193">
        <f>_xlfn.XLOOKUP(YEAR(IY$24),'Inflation Forecast'!$D$11:$D$41,'Inflation Forecast'!$F$11:$F$41)</f>
        <v>2.122966027451989E-3</v>
      </c>
      <c r="IZ25" s="193">
        <f>_xlfn.XLOOKUP(YEAR(IZ$24),'Inflation Forecast'!$D$11:$D$41,'Inflation Forecast'!$F$11:$F$41)</f>
        <v>2.122966027451989E-3</v>
      </c>
      <c r="JA25" s="193">
        <f>_xlfn.XLOOKUP(YEAR(JA$24),'Inflation Forecast'!$D$11:$D$41,'Inflation Forecast'!$F$11:$F$41)</f>
        <v>2.122966027451989E-3</v>
      </c>
      <c r="JB25" s="193">
        <f>_xlfn.XLOOKUP(YEAR(JB$24),'Inflation Forecast'!$D$11:$D$41,'Inflation Forecast'!$F$11:$F$41)</f>
        <v>2.122966027451989E-3</v>
      </c>
      <c r="JC25" s="193">
        <f>_xlfn.XLOOKUP(YEAR(JC$24),'Inflation Forecast'!$D$11:$D$41,'Inflation Forecast'!$F$11:$F$41)</f>
        <v>2.122966027451989E-3</v>
      </c>
      <c r="JD25" s="193">
        <f>_xlfn.XLOOKUP(YEAR(JD$24),'Inflation Forecast'!$D$11:$D$41,'Inflation Forecast'!$F$11:$F$41)</f>
        <v>2.1285580540391091E-3</v>
      </c>
      <c r="JE25" s="193">
        <f>_xlfn.XLOOKUP(YEAR(JE$24),'Inflation Forecast'!$D$11:$D$41,'Inflation Forecast'!$F$11:$F$41)</f>
        <v>2.1285580540391091E-3</v>
      </c>
      <c r="JF25" s="193">
        <f>_xlfn.XLOOKUP(YEAR(JF$24),'Inflation Forecast'!$D$11:$D$41,'Inflation Forecast'!$F$11:$F$41)</f>
        <v>2.1285580540391091E-3</v>
      </c>
      <c r="JG25" s="193">
        <f>_xlfn.XLOOKUP(YEAR(JG$24),'Inflation Forecast'!$D$11:$D$41,'Inflation Forecast'!$F$11:$F$41)</f>
        <v>2.1285580540391091E-3</v>
      </c>
      <c r="JH25" s="193">
        <f>_xlfn.XLOOKUP(YEAR(JH$24),'Inflation Forecast'!$D$11:$D$41,'Inflation Forecast'!$F$11:$F$41)</f>
        <v>2.1285580540391091E-3</v>
      </c>
      <c r="JI25" s="193">
        <f>_xlfn.XLOOKUP(YEAR(JI$24),'Inflation Forecast'!$D$11:$D$41,'Inflation Forecast'!$F$11:$F$41)</f>
        <v>2.1285580540391091E-3</v>
      </c>
      <c r="JJ25" s="193">
        <f>_xlfn.XLOOKUP(YEAR(JJ$24),'Inflation Forecast'!$D$11:$D$41,'Inflation Forecast'!$F$11:$F$41)</f>
        <v>2.1285580540391091E-3</v>
      </c>
      <c r="JK25" s="193">
        <f>_xlfn.XLOOKUP(YEAR(JK$24),'Inflation Forecast'!$D$11:$D$41,'Inflation Forecast'!$F$11:$F$41)</f>
        <v>2.1285580540391091E-3</v>
      </c>
      <c r="JL25" s="193">
        <f>_xlfn.XLOOKUP(YEAR(JL$24),'Inflation Forecast'!$D$11:$D$41,'Inflation Forecast'!$F$11:$F$41)</f>
        <v>2.1285580540391091E-3</v>
      </c>
      <c r="JM25" s="193">
        <f>_xlfn.XLOOKUP(YEAR(JM$24),'Inflation Forecast'!$D$11:$D$41,'Inflation Forecast'!$F$11:$F$41)</f>
        <v>2.1285580540391091E-3</v>
      </c>
      <c r="JN25" s="193">
        <f>_xlfn.XLOOKUP(YEAR(JN$24),'Inflation Forecast'!$D$11:$D$41,'Inflation Forecast'!$F$11:$F$41)</f>
        <v>2.1285580540391091E-3</v>
      </c>
      <c r="JO25" s="193">
        <f>_xlfn.XLOOKUP(YEAR(JO$24),'Inflation Forecast'!$D$11:$D$41,'Inflation Forecast'!$F$11:$F$41)</f>
        <v>2.1285580540391091E-3</v>
      </c>
      <c r="JP25" s="193">
        <f>_xlfn.XLOOKUP(YEAR(JP$24),'Inflation Forecast'!$D$11:$D$41,'Inflation Forecast'!$F$11:$F$41)</f>
        <v>2.1337922838327028E-3</v>
      </c>
      <c r="JQ25" s="193">
        <f>_xlfn.XLOOKUP(YEAR(JQ$24),'Inflation Forecast'!$D$11:$D$41,'Inflation Forecast'!$F$11:$F$41)</f>
        <v>2.1337922838327028E-3</v>
      </c>
      <c r="JR25" s="193">
        <f>_xlfn.XLOOKUP(YEAR(JR$24),'Inflation Forecast'!$D$11:$D$41,'Inflation Forecast'!$F$11:$F$41)</f>
        <v>2.1337922838327028E-3</v>
      </c>
      <c r="JS25" s="193">
        <f>_xlfn.XLOOKUP(YEAR(JS$24),'Inflation Forecast'!$D$11:$D$41,'Inflation Forecast'!$F$11:$F$41)</f>
        <v>2.1337922838327028E-3</v>
      </c>
      <c r="JT25" s="193">
        <f>_xlfn.XLOOKUP(YEAR(JT$24),'Inflation Forecast'!$D$11:$D$41,'Inflation Forecast'!$F$11:$F$41)</f>
        <v>2.1337922838327028E-3</v>
      </c>
      <c r="JU25" s="193">
        <f>_xlfn.XLOOKUP(YEAR(JU$24),'Inflation Forecast'!$D$11:$D$41,'Inflation Forecast'!$F$11:$F$41)</f>
        <v>2.1337922838327028E-3</v>
      </c>
      <c r="JV25" s="193">
        <f>_xlfn.XLOOKUP(YEAR(JV$24),'Inflation Forecast'!$D$11:$D$41,'Inflation Forecast'!$F$11:$F$41)</f>
        <v>2.1337922838327028E-3</v>
      </c>
      <c r="JW25" s="193">
        <f>_xlfn.XLOOKUP(YEAR(JW$24),'Inflation Forecast'!$D$11:$D$41,'Inflation Forecast'!$F$11:$F$41)</f>
        <v>2.1337922838327028E-3</v>
      </c>
      <c r="JX25" s="193">
        <f>_xlfn.XLOOKUP(YEAR(JX$24),'Inflation Forecast'!$D$11:$D$41,'Inflation Forecast'!$F$11:$F$41)</f>
        <v>2.1337922838327028E-3</v>
      </c>
      <c r="JY25" s="193">
        <f>_xlfn.XLOOKUP(YEAR(JY$24),'Inflation Forecast'!$D$11:$D$41,'Inflation Forecast'!$F$11:$F$41)</f>
        <v>2.1337922838327028E-3</v>
      </c>
      <c r="JZ25" s="193">
        <f>_xlfn.XLOOKUP(YEAR(JZ$24),'Inflation Forecast'!$D$11:$D$41,'Inflation Forecast'!$F$11:$F$41)</f>
        <v>2.1337922838327028E-3</v>
      </c>
      <c r="KA25" s="193">
        <f>_xlfn.XLOOKUP(YEAR(KA$24),'Inflation Forecast'!$D$11:$D$41,'Inflation Forecast'!$F$11:$F$41)</f>
        <v>2.1337922838327028E-3</v>
      </c>
      <c r="KB25" s="193">
        <f>_xlfn.XLOOKUP(YEAR(KB$24),'Inflation Forecast'!$D$11:$D$41,'Inflation Forecast'!$F$11:$F$41)</f>
        <v>2.1386927531674704E-3</v>
      </c>
      <c r="KC25" s="193">
        <f>_xlfn.XLOOKUP(YEAR(KC$24),'Inflation Forecast'!$D$11:$D$41,'Inflation Forecast'!$F$11:$F$41)</f>
        <v>2.1386927531674704E-3</v>
      </c>
      <c r="KD25" s="193">
        <f>_xlfn.XLOOKUP(YEAR(KD$24),'Inflation Forecast'!$D$11:$D$41,'Inflation Forecast'!$F$11:$F$41)</f>
        <v>2.1386927531674704E-3</v>
      </c>
      <c r="KE25" s="193">
        <f>_xlfn.XLOOKUP(YEAR(KE$24),'Inflation Forecast'!$D$11:$D$41,'Inflation Forecast'!$F$11:$F$41)</f>
        <v>2.1386927531674704E-3</v>
      </c>
      <c r="KF25" s="193">
        <f>_xlfn.XLOOKUP(YEAR(KF$24),'Inflation Forecast'!$D$11:$D$41,'Inflation Forecast'!$F$11:$F$41)</f>
        <v>2.1386927531674704E-3</v>
      </c>
      <c r="KG25" s="193">
        <f>_xlfn.XLOOKUP(YEAR(KG$24),'Inflation Forecast'!$D$11:$D$41,'Inflation Forecast'!$F$11:$F$41)</f>
        <v>2.1386927531674704E-3</v>
      </c>
      <c r="KH25" s="193">
        <f>_xlfn.XLOOKUP(YEAR(KH$24),'Inflation Forecast'!$D$11:$D$41,'Inflation Forecast'!$F$11:$F$41)</f>
        <v>2.1386927531674704E-3</v>
      </c>
      <c r="KI25" s="193">
        <f>_xlfn.XLOOKUP(YEAR(KI$24),'Inflation Forecast'!$D$11:$D$41,'Inflation Forecast'!$F$11:$F$41)</f>
        <v>2.1386927531674704E-3</v>
      </c>
      <c r="KJ25" s="193">
        <f>_xlfn.XLOOKUP(YEAR(KJ$24),'Inflation Forecast'!$D$11:$D$41,'Inflation Forecast'!$F$11:$F$41)</f>
        <v>2.1386927531674704E-3</v>
      </c>
      <c r="KK25" s="193">
        <f>_xlfn.XLOOKUP(YEAR(KK$24),'Inflation Forecast'!$D$11:$D$41,'Inflation Forecast'!$F$11:$F$41)</f>
        <v>2.1386927531674704E-3</v>
      </c>
      <c r="KL25" s="193">
        <f>_xlfn.XLOOKUP(YEAR(KL$24),'Inflation Forecast'!$D$11:$D$41,'Inflation Forecast'!$F$11:$F$41)</f>
        <v>2.1386927531674704E-3</v>
      </c>
      <c r="KM25" s="193">
        <f>_xlfn.XLOOKUP(YEAR(KM$24),'Inflation Forecast'!$D$11:$D$41,'Inflation Forecast'!$F$11:$F$41)</f>
        <v>2.1386927531674704E-3</v>
      </c>
      <c r="KN25" s="193">
        <f>_xlfn.XLOOKUP(YEAR(KN$24),'Inflation Forecast'!$D$11:$D$41,'Inflation Forecast'!$F$11:$F$41)</f>
        <v>2.1432773884009215E-3</v>
      </c>
      <c r="KO25" s="193">
        <f>_xlfn.XLOOKUP(YEAR(KO$24),'Inflation Forecast'!$D$11:$D$41,'Inflation Forecast'!$F$11:$F$41)</f>
        <v>2.1432773884009215E-3</v>
      </c>
      <c r="KP25" s="193">
        <f>_xlfn.XLOOKUP(YEAR(KP$24),'Inflation Forecast'!$D$11:$D$41,'Inflation Forecast'!$F$11:$F$41)</f>
        <v>2.1432773884009215E-3</v>
      </c>
      <c r="KQ25" s="193">
        <f>_xlfn.XLOOKUP(YEAR(KQ$24),'Inflation Forecast'!$D$11:$D$41,'Inflation Forecast'!$F$11:$F$41)</f>
        <v>2.1432773884009215E-3</v>
      </c>
      <c r="KR25" s="193">
        <f>_xlfn.XLOOKUP(YEAR(KR$24),'Inflation Forecast'!$D$11:$D$41,'Inflation Forecast'!$F$11:$F$41)</f>
        <v>2.1432773884009215E-3</v>
      </c>
      <c r="KS25" s="193">
        <f>_xlfn.XLOOKUP(YEAR(KS$24),'Inflation Forecast'!$D$11:$D$41,'Inflation Forecast'!$F$11:$F$41)</f>
        <v>2.1432773884009215E-3</v>
      </c>
      <c r="KT25" s="193">
        <f>_xlfn.XLOOKUP(YEAR(KT$24),'Inflation Forecast'!$D$11:$D$41,'Inflation Forecast'!$F$11:$F$41)</f>
        <v>2.1432773884009215E-3</v>
      </c>
      <c r="KU25" s="193">
        <f>_xlfn.XLOOKUP(YEAR(KU$24),'Inflation Forecast'!$D$11:$D$41,'Inflation Forecast'!$F$11:$F$41)</f>
        <v>2.1432773884009215E-3</v>
      </c>
      <c r="KV25" s="193">
        <f>_xlfn.XLOOKUP(YEAR(KV$24),'Inflation Forecast'!$D$11:$D$41,'Inflation Forecast'!$F$11:$F$41)</f>
        <v>2.1432773884009215E-3</v>
      </c>
      <c r="KW25" s="193">
        <f>_xlfn.XLOOKUP(YEAR(KW$24),'Inflation Forecast'!$D$11:$D$41,'Inflation Forecast'!$F$11:$F$41)</f>
        <v>2.1432773884009215E-3</v>
      </c>
      <c r="KX25" s="193">
        <f>_xlfn.XLOOKUP(YEAR(KX$24),'Inflation Forecast'!$D$11:$D$41,'Inflation Forecast'!$F$11:$F$41)</f>
        <v>2.1432773884009215E-3</v>
      </c>
      <c r="KY25" s="193">
        <f>_xlfn.XLOOKUP(YEAR(KY$24),'Inflation Forecast'!$D$11:$D$41,'Inflation Forecast'!$F$11:$F$41)</f>
        <v>2.1432773884009215E-3</v>
      </c>
      <c r="KZ25" s="193">
        <f>_xlfn.XLOOKUP(YEAR(KZ$24),'Inflation Forecast'!$D$11:$D$41,'Inflation Forecast'!$F$11:$F$41)</f>
        <v>2.1475697530020099E-3</v>
      </c>
      <c r="LA25" s="193">
        <f>_xlfn.XLOOKUP(YEAR(LA$24),'Inflation Forecast'!$D$11:$D$41,'Inflation Forecast'!$F$11:$F$41)</f>
        <v>2.1475697530020099E-3</v>
      </c>
      <c r="LB25" s="193">
        <f>_xlfn.XLOOKUP(YEAR(LB$24),'Inflation Forecast'!$D$11:$D$41,'Inflation Forecast'!$F$11:$F$41)</f>
        <v>2.1475697530020099E-3</v>
      </c>
      <c r="LC25" s="193">
        <f>_xlfn.XLOOKUP(YEAR(LC$24),'Inflation Forecast'!$D$11:$D$41,'Inflation Forecast'!$F$11:$F$41)</f>
        <v>2.1475697530020099E-3</v>
      </c>
      <c r="LD25" s="193">
        <f>_xlfn.XLOOKUP(YEAR(LD$24),'Inflation Forecast'!$D$11:$D$41,'Inflation Forecast'!$F$11:$F$41)</f>
        <v>2.1475697530020099E-3</v>
      </c>
      <c r="LE25" s="193">
        <f>_xlfn.XLOOKUP(YEAR(LE$24),'Inflation Forecast'!$D$11:$D$41,'Inflation Forecast'!$F$11:$F$41)</f>
        <v>2.1475697530020099E-3</v>
      </c>
      <c r="LF25" s="193">
        <f>_xlfn.XLOOKUP(YEAR(LF$24),'Inflation Forecast'!$D$11:$D$41,'Inflation Forecast'!$F$11:$F$41)</f>
        <v>2.1475697530020099E-3</v>
      </c>
      <c r="LG25" s="193">
        <f>_xlfn.XLOOKUP(YEAR(LG$24),'Inflation Forecast'!$D$11:$D$41,'Inflation Forecast'!$F$11:$F$41)</f>
        <v>2.1475697530020099E-3</v>
      </c>
      <c r="LH25" s="193">
        <f>_xlfn.XLOOKUP(YEAR(LH$24),'Inflation Forecast'!$D$11:$D$41,'Inflation Forecast'!$F$11:$F$41)</f>
        <v>2.1475697530020099E-3</v>
      </c>
      <c r="LI25" s="193">
        <f>_xlfn.XLOOKUP(YEAR(LI$24),'Inflation Forecast'!$D$11:$D$41,'Inflation Forecast'!$F$11:$F$41)</f>
        <v>2.1475697530020099E-3</v>
      </c>
      <c r="LJ25" s="193">
        <f>_xlfn.XLOOKUP(YEAR(LJ$24),'Inflation Forecast'!$D$11:$D$41,'Inflation Forecast'!$F$11:$F$41)</f>
        <v>2.1475697530020099E-3</v>
      </c>
      <c r="LK25" s="193">
        <f>_xlfn.XLOOKUP(YEAR(LK$24),'Inflation Forecast'!$D$11:$D$41,'Inflation Forecast'!$F$11:$F$41)</f>
        <v>2.1475697530020099E-3</v>
      </c>
      <c r="LL25" s="193">
        <f>_xlfn.XLOOKUP(YEAR(LL$24),'Inflation Forecast'!$D$11:$D$41,'Inflation Forecast'!$F$11:$F$41)</f>
        <v>2.151587463758986E-3</v>
      </c>
      <c r="LM25" s="193">
        <f>_xlfn.XLOOKUP(YEAR(LM$24),'Inflation Forecast'!$D$11:$D$41,'Inflation Forecast'!$F$11:$F$41)</f>
        <v>2.151587463758986E-3</v>
      </c>
      <c r="LN25" s="193">
        <f>_xlfn.XLOOKUP(YEAR(LN$24),'Inflation Forecast'!$D$11:$D$41,'Inflation Forecast'!$F$11:$F$41)</f>
        <v>2.151587463758986E-3</v>
      </c>
      <c r="LO25" s="193">
        <f>_xlfn.XLOOKUP(YEAR(LO$24),'Inflation Forecast'!$D$11:$D$41,'Inflation Forecast'!$F$11:$F$41)</f>
        <v>2.151587463758986E-3</v>
      </c>
      <c r="LP25" s="193">
        <f>_xlfn.XLOOKUP(YEAR(LP$24),'Inflation Forecast'!$D$11:$D$41,'Inflation Forecast'!$F$11:$F$41)</f>
        <v>2.151587463758986E-3</v>
      </c>
      <c r="LQ25" s="193">
        <f>_xlfn.XLOOKUP(YEAR(LQ$24),'Inflation Forecast'!$D$11:$D$41,'Inflation Forecast'!$F$11:$F$41)</f>
        <v>2.151587463758986E-3</v>
      </c>
      <c r="LR25" s="193">
        <f>_xlfn.XLOOKUP(YEAR(LR$24),'Inflation Forecast'!$D$11:$D$41,'Inflation Forecast'!$F$11:$F$41)</f>
        <v>2.151587463758986E-3</v>
      </c>
      <c r="LS25" s="193">
        <f>_xlfn.XLOOKUP(YEAR(LS$24),'Inflation Forecast'!$D$11:$D$41,'Inflation Forecast'!$F$11:$F$41)</f>
        <v>2.151587463758986E-3</v>
      </c>
      <c r="LT25" s="193">
        <f>_xlfn.XLOOKUP(YEAR(LT$24),'Inflation Forecast'!$D$11:$D$41,'Inflation Forecast'!$F$11:$F$41)</f>
        <v>2.151587463758986E-3</v>
      </c>
      <c r="LU25" s="193">
        <f>_xlfn.XLOOKUP(YEAR(LU$24),'Inflation Forecast'!$D$11:$D$41,'Inflation Forecast'!$F$11:$F$41)</f>
        <v>2.151587463758986E-3</v>
      </c>
      <c r="LV25" s="193">
        <f>_xlfn.XLOOKUP(YEAR(LV$24),'Inflation Forecast'!$D$11:$D$41,'Inflation Forecast'!$F$11:$F$41)</f>
        <v>2.151587463758986E-3</v>
      </c>
      <c r="LW25" s="193">
        <f>_xlfn.XLOOKUP(YEAR(LW$24),'Inflation Forecast'!$D$11:$D$41,'Inflation Forecast'!$F$11:$F$41)</f>
        <v>2.151587463758986E-3</v>
      </c>
      <c r="LX25" s="193">
        <f>_xlfn.XLOOKUP(YEAR(LX$24),'Inflation Forecast'!$D$11:$D$41,'Inflation Forecast'!$F$11:$F$41)</f>
        <v>2.1553489983210383E-3</v>
      </c>
      <c r="LY25" s="193">
        <f>_xlfn.XLOOKUP(YEAR(LY$24),'Inflation Forecast'!$D$11:$D$41,'Inflation Forecast'!$F$11:$F$41)</f>
        <v>2.1553489983210383E-3</v>
      </c>
      <c r="LZ25" s="193">
        <f>_xlfn.XLOOKUP(YEAR(LZ$24),'Inflation Forecast'!$D$11:$D$41,'Inflation Forecast'!$F$11:$F$41)</f>
        <v>2.1553489983210383E-3</v>
      </c>
      <c r="MA25" s="193">
        <f>_xlfn.XLOOKUP(YEAR(MA$24),'Inflation Forecast'!$D$11:$D$41,'Inflation Forecast'!$F$11:$F$41)</f>
        <v>2.1553489983210383E-3</v>
      </c>
      <c r="MB25" s="193">
        <f>_xlfn.XLOOKUP(YEAR(MB$24),'Inflation Forecast'!$D$11:$D$41,'Inflation Forecast'!$F$11:$F$41)</f>
        <v>2.1553489983210383E-3</v>
      </c>
      <c r="MC25" s="193">
        <f>_xlfn.XLOOKUP(YEAR(MC$24),'Inflation Forecast'!$D$11:$D$41,'Inflation Forecast'!$F$11:$F$41)</f>
        <v>2.1553489983210383E-3</v>
      </c>
      <c r="MD25" s="193">
        <f>_xlfn.XLOOKUP(YEAR(MD$24),'Inflation Forecast'!$D$11:$D$41,'Inflation Forecast'!$F$11:$F$41)</f>
        <v>2.1553489983210383E-3</v>
      </c>
      <c r="ME25" s="193">
        <f>_xlfn.XLOOKUP(YEAR(ME$24),'Inflation Forecast'!$D$11:$D$41,'Inflation Forecast'!$F$11:$F$41)</f>
        <v>2.1553489983210383E-3</v>
      </c>
      <c r="MF25" s="193">
        <f>_xlfn.XLOOKUP(YEAR(MF$24),'Inflation Forecast'!$D$11:$D$41,'Inflation Forecast'!$F$11:$F$41)</f>
        <v>2.1553489983210383E-3</v>
      </c>
      <c r="MG25" s="193">
        <f>_xlfn.XLOOKUP(YEAR(MG$24),'Inflation Forecast'!$D$11:$D$41,'Inflation Forecast'!$F$11:$F$41)</f>
        <v>2.1553489983210383E-3</v>
      </c>
      <c r="MH25" s="193">
        <f>_xlfn.XLOOKUP(YEAR(MH$24),'Inflation Forecast'!$D$11:$D$41,'Inflation Forecast'!$F$11:$F$41)</f>
        <v>2.1553489983210383E-3</v>
      </c>
      <c r="MI25" s="193">
        <f>_xlfn.XLOOKUP(YEAR(MI$24),'Inflation Forecast'!$D$11:$D$41,'Inflation Forecast'!$F$11:$F$41)</f>
        <v>2.1553489983210383E-3</v>
      </c>
      <c r="MJ25" s="193">
        <f>_xlfn.XLOOKUP(YEAR(MJ$24),'Inflation Forecast'!$D$11:$D$41,'Inflation Forecast'!$F$11:$F$41)</f>
        <v>2.1588681271089705E-3</v>
      </c>
      <c r="MK25" s="193">
        <f>_xlfn.XLOOKUP(YEAR(MK$24),'Inflation Forecast'!$D$11:$D$41,'Inflation Forecast'!$F$11:$F$41)</f>
        <v>2.1588681271089705E-3</v>
      </c>
      <c r="ML25" s="193">
        <f>_xlfn.XLOOKUP(YEAR(ML$24),'Inflation Forecast'!$D$11:$D$41,'Inflation Forecast'!$F$11:$F$41)</f>
        <v>2.1588681271089705E-3</v>
      </c>
      <c r="MM25" s="193">
        <f>_xlfn.XLOOKUP(YEAR(MM$24),'Inflation Forecast'!$D$11:$D$41,'Inflation Forecast'!$F$11:$F$41)</f>
        <v>2.1588681271089705E-3</v>
      </c>
      <c r="MN25" s="193">
        <f>_xlfn.XLOOKUP(YEAR(MN$24),'Inflation Forecast'!$D$11:$D$41,'Inflation Forecast'!$F$11:$F$41)</f>
        <v>2.1588681271089705E-3</v>
      </c>
      <c r="MO25" s="193">
        <f>_xlfn.XLOOKUP(YEAR(MO$24),'Inflation Forecast'!$D$11:$D$41,'Inflation Forecast'!$F$11:$F$41)</f>
        <v>2.1588681271089705E-3</v>
      </c>
      <c r="MP25" s="193">
        <f>_xlfn.XLOOKUP(YEAR(MP$24),'Inflation Forecast'!$D$11:$D$41,'Inflation Forecast'!$F$11:$F$41)</f>
        <v>2.1588681271089705E-3</v>
      </c>
      <c r="MQ25" s="193">
        <f>_xlfn.XLOOKUP(YEAR(MQ$24),'Inflation Forecast'!$D$11:$D$41,'Inflation Forecast'!$F$11:$F$41)</f>
        <v>2.1588681271089705E-3</v>
      </c>
      <c r="MR25" s="193">
        <f>_xlfn.XLOOKUP(YEAR(MR$24),'Inflation Forecast'!$D$11:$D$41,'Inflation Forecast'!$F$11:$F$41)</f>
        <v>2.1588681271089705E-3</v>
      </c>
      <c r="MS25" s="193">
        <f>_xlfn.XLOOKUP(YEAR(MS$24),'Inflation Forecast'!$D$11:$D$41,'Inflation Forecast'!$F$11:$F$41)</f>
        <v>2.1588681271089705E-3</v>
      </c>
      <c r="MT25" s="193">
        <f>_xlfn.XLOOKUP(YEAR(MT$24),'Inflation Forecast'!$D$11:$D$41,'Inflation Forecast'!$F$11:$F$41)</f>
        <v>2.1588681271089705E-3</v>
      </c>
      <c r="MU25" s="193">
        <f>_xlfn.XLOOKUP(YEAR(MU$24),'Inflation Forecast'!$D$11:$D$41,'Inflation Forecast'!$F$11:$F$41)</f>
        <v>2.1588681271089705E-3</v>
      </c>
      <c r="MV25" s="193">
        <f>_xlfn.XLOOKUP(YEAR(MV$24),'Inflation Forecast'!$D$11:$D$41,'Inflation Forecast'!$F$11:$F$41)</f>
        <v>2.1621629392152286E-3</v>
      </c>
      <c r="MW25" s="193">
        <f>_xlfn.XLOOKUP(YEAR(MW$24),'Inflation Forecast'!$D$11:$D$41,'Inflation Forecast'!$F$11:$F$41)</f>
        <v>2.1621629392152286E-3</v>
      </c>
      <c r="MX25" s="193">
        <f>_xlfn.XLOOKUP(YEAR(MX$24),'Inflation Forecast'!$D$11:$D$41,'Inflation Forecast'!$F$11:$F$41)</f>
        <v>2.1621629392152286E-3</v>
      </c>
      <c r="MY25" s="193">
        <f>_xlfn.XLOOKUP(YEAR(MY$24),'Inflation Forecast'!$D$11:$D$41,'Inflation Forecast'!$F$11:$F$41)</f>
        <v>2.1621629392152286E-3</v>
      </c>
      <c r="MZ25" s="193">
        <f>_xlfn.XLOOKUP(YEAR(MZ$24),'Inflation Forecast'!$D$11:$D$41,'Inflation Forecast'!$F$11:$F$41)</f>
        <v>2.1621629392152286E-3</v>
      </c>
      <c r="NA25" s="193">
        <f>_xlfn.XLOOKUP(YEAR(NA$24),'Inflation Forecast'!$D$11:$D$41,'Inflation Forecast'!$F$11:$F$41)</f>
        <v>2.1621629392152286E-3</v>
      </c>
      <c r="NB25" s="193">
        <f>_xlfn.XLOOKUP(YEAR(NB$24),'Inflation Forecast'!$D$11:$D$41,'Inflation Forecast'!$F$11:$F$41)</f>
        <v>2.1621629392152286E-3</v>
      </c>
      <c r="NC25" s="193">
        <f>_xlfn.XLOOKUP(YEAR(NC$24),'Inflation Forecast'!$D$11:$D$41,'Inflation Forecast'!$F$11:$F$41)</f>
        <v>2.1621629392152286E-3</v>
      </c>
    </row>
    <row r="26" spans="1:367" ht="15" customHeight="1" x14ac:dyDescent="0.35">
      <c r="A26">
        <f>MAX($A$11:A25)+1</f>
        <v>10</v>
      </c>
      <c r="D26" s="1119" t="s">
        <v>548</v>
      </c>
      <c r="E26" t="s">
        <v>506</v>
      </c>
      <c r="F26" t="str">
        <f>"["&amp;A26&amp;"]"</f>
        <v>[10]</v>
      </c>
      <c r="G26" s="82" t="s">
        <v>39</v>
      </c>
      <c r="H26" s="1173">
        <f>(H25+1)^IF(H24&lt;Control!$H$18,-1,1)</f>
        <v>0.99763019675169196</v>
      </c>
      <c r="I26" s="1173">
        <f>(I25+1)^IF(I24&lt;Control!$H$18,-1,1)</f>
        <v>0.99763019675169196</v>
      </c>
      <c r="J26" s="1173">
        <f>(J25+1)^IF(J24&lt;Control!$H$18,-1,1)</f>
        <v>0.99763019675169196</v>
      </c>
      <c r="K26" s="1173">
        <f>(K25+1)^IF(K24&lt;Control!$H$18,-1,1)</f>
        <v>0.99763019675169196</v>
      </c>
      <c r="L26" s="1173">
        <f>(L25+1)^IF(L24&lt;Control!$H$18,-1,1)</f>
        <v>1.0022487961986244</v>
      </c>
      <c r="M26" s="1173">
        <f>(M25+1)^IF(M24&lt;Control!$H$18,-1,1)</f>
        <v>1.0022487961986244</v>
      </c>
      <c r="N26" s="1173">
        <f>(N25+1)^IF(N24&lt;Control!$H$18,-1,1)</f>
        <v>1.0022487961986244</v>
      </c>
      <c r="O26" s="1173">
        <f>(O25+1)^IF(O24&lt;Control!$H$18,-1,1)</f>
        <v>1.0022487961986244</v>
      </c>
      <c r="P26" s="1173">
        <f>(P25+1)^IF(P24&lt;Control!$H$18,-1,1)</f>
        <v>1.0022487961986244</v>
      </c>
      <c r="Q26" s="1173">
        <f>(Q25+1)^IF(Q24&lt;Control!$H$18,-1,1)</f>
        <v>1.0022487961986244</v>
      </c>
      <c r="R26" s="1173">
        <f>(R25+1)^IF(R24&lt;Control!$H$18,-1,1)</f>
        <v>1.0022487961986244</v>
      </c>
      <c r="S26" s="1173">
        <f>(S25+1)^IF(S24&lt;Control!$H$18,-1,1)</f>
        <v>1.0022487961986244</v>
      </c>
      <c r="T26" s="1173">
        <f>(T25+1)^IF(T24&lt;Control!$H$18,-1,1)</f>
        <v>1.0022487961986244</v>
      </c>
      <c r="U26" s="1173">
        <f>(U25+1)^IF(U24&lt;Control!$H$18,-1,1)</f>
        <v>1.0022487961986244</v>
      </c>
      <c r="V26" s="1173">
        <f>(V25+1)^IF(V24&lt;Control!$H$18,-1,1)</f>
        <v>1.0022487961986244</v>
      </c>
      <c r="W26" s="1173">
        <f>(W25+1)^IF(W24&lt;Control!$H$18,-1,1)</f>
        <v>1.0022487961986244</v>
      </c>
      <c r="X26" s="1173">
        <f>(X25+1)^IF(X24&lt;Control!$H$18,-1,1)</f>
        <v>1.0020636307866835</v>
      </c>
      <c r="Y26" s="1173">
        <f>(Y25+1)^IF(Y24&lt;Control!$H$18,-1,1)</f>
        <v>1.0020636307866835</v>
      </c>
      <c r="Z26" s="1173">
        <f>(Z25+1)^IF(Z24&lt;Control!$H$18,-1,1)</f>
        <v>1.0020636307866835</v>
      </c>
      <c r="AA26" s="1173">
        <f>(AA25+1)^IF(AA24&lt;Control!$H$18,-1,1)</f>
        <v>1.0020636307866835</v>
      </c>
      <c r="AB26" s="1173">
        <f>(AB25+1)^IF(AB24&lt;Control!$H$18,-1,1)</f>
        <v>1.0020636307866835</v>
      </c>
      <c r="AC26" s="1173">
        <f>(AC25+1)^IF(AC24&lt;Control!$H$18,-1,1)</f>
        <v>1.0020636307866835</v>
      </c>
      <c r="AD26" s="1173">
        <f>(AD25+1)^IF(AD24&lt;Control!$H$18,-1,1)</f>
        <v>1.0020636307866835</v>
      </c>
      <c r="AE26" s="1173">
        <f>(AE25+1)^IF(AE24&lt;Control!$H$18,-1,1)</f>
        <v>1.0020636307866835</v>
      </c>
      <c r="AF26" s="1173">
        <f>(AF25+1)^IF(AF24&lt;Control!$H$18,-1,1)</f>
        <v>1.0020636307866835</v>
      </c>
      <c r="AG26" s="1173">
        <f>(AG25+1)^IF(AG24&lt;Control!$H$18,-1,1)</f>
        <v>1.0020636307866835</v>
      </c>
      <c r="AH26" s="1173">
        <f>(AH25+1)^IF(AH24&lt;Control!$H$18,-1,1)</f>
        <v>1.0020636307866835</v>
      </c>
      <c r="AI26" s="1173">
        <f>(AI25+1)^IF(AI24&lt;Control!$H$18,-1,1)</f>
        <v>1.0020636307866835</v>
      </c>
      <c r="AJ26" s="1173">
        <f>(AJ25+1)^IF(AJ24&lt;Control!$H$18,-1,1)</f>
        <v>1.0019999133451576</v>
      </c>
      <c r="AK26" s="1173">
        <f>(AK25+1)^IF(AK24&lt;Control!$H$18,-1,1)</f>
        <v>1.0019999133451576</v>
      </c>
      <c r="AL26" s="1173">
        <f>(AL25+1)^IF(AL24&lt;Control!$H$18,-1,1)</f>
        <v>1.0019999133451576</v>
      </c>
      <c r="AM26" s="1173">
        <f>(AM25+1)^IF(AM24&lt;Control!$H$18,-1,1)</f>
        <v>1.0019999133451576</v>
      </c>
      <c r="AN26" s="1173">
        <f>(AN25+1)^IF(AN24&lt;Control!$H$18,-1,1)</f>
        <v>1.0019999133451576</v>
      </c>
      <c r="AO26" s="1173">
        <f>(AO25+1)^IF(AO24&lt;Control!$H$18,-1,1)</f>
        <v>1.0019999133451576</v>
      </c>
      <c r="AP26" s="1173">
        <f>(AP25+1)^IF(AP24&lt;Control!$H$18,-1,1)</f>
        <v>1.0019999133451576</v>
      </c>
      <c r="AQ26" s="1173">
        <f>(AQ25+1)^IF(AQ24&lt;Control!$H$18,-1,1)</f>
        <v>1.0019999133451576</v>
      </c>
      <c r="AR26" s="1173">
        <f>(AR25+1)^IF(AR24&lt;Control!$H$18,-1,1)</f>
        <v>1.0019999133451576</v>
      </c>
      <c r="AS26" s="1173">
        <f>(AS25+1)^IF(AS24&lt;Control!$H$18,-1,1)</f>
        <v>1.0019999133451576</v>
      </c>
      <c r="AT26" s="1173">
        <f>(AT25+1)^IF(AT24&lt;Control!$H$18,-1,1)</f>
        <v>1.0019999133451576</v>
      </c>
      <c r="AU26" s="1173">
        <f>(AU25+1)^IF(AU24&lt;Control!$H$18,-1,1)</f>
        <v>1.0019999133451576</v>
      </c>
      <c r="AV26" s="1173">
        <f>(AV25+1)^IF(AV24&lt;Control!$H$18,-1,1)</f>
        <v>1.001980720351153</v>
      </c>
      <c r="AW26" s="1173">
        <f>(AW25+1)^IF(AW24&lt;Control!$H$18,-1,1)</f>
        <v>1.001980720351153</v>
      </c>
      <c r="AX26" s="1173">
        <f>(AX25+1)^IF(AX24&lt;Control!$H$18,-1,1)</f>
        <v>1.001980720351153</v>
      </c>
      <c r="AY26" s="1173">
        <f>(AY25+1)^IF(AY24&lt;Control!$H$18,-1,1)</f>
        <v>1.001980720351153</v>
      </c>
      <c r="AZ26" s="1173">
        <f>(AZ25+1)^IF(AZ24&lt;Control!$H$18,-1,1)</f>
        <v>1.001980720351153</v>
      </c>
      <c r="BA26" s="1173">
        <f>(BA25+1)^IF(BA24&lt;Control!$H$18,-1,1)</f>
        <v>1.001980720351153</v>
      </c>
      <c r="BB26" s="1173">
        <f>(BB25+1)^IF(BB24&lt;Control!$H$18,-1,1)</f>
        <v>1.001980720351153</v>
      </c>
      <c r="BC26" s="1173">
        <f>(BC25+1)^IF(BC24&lt;Control!$H$18,-1,1)</f>
        <v>1.001980720351153</v>
      </c>
      <c r="BD26" s="1173">
        <f>(BD25+1)^IF(BD24&lt;Control!$H$18,-1,1)</f>
        <v>1.001980720351153</v>
      </c>
      <c r="BE26" s="1173">
        <f>(BE25+1)^IF(BE24&lt;Control!$H$18,-1,1)</f>
        <v>1.001980720351153</v>
      </c>
      <c r="BF26" s="1173">
        <f>(BF25+1)^IF(BF24&lt;Control!$H$18,-1,1)</f>
        <v>1.001980720351153</v>
      </c>
      <c r="BG26" s="1173">
        <f>(BG25+1)^IF(BG24&lt;Control!$H$18,-1,1)</f>
        <v>1.001980720351153</v>
      </c>
      <c r="BH26" s="1173">
        <f>(BH25+1)^IF(BH24&lt;Control!$H$18,-1,1)</f>
        <v>1.0019787931586202</v>
      </c>
      <c r="BI26" s="1173">
        <f>(BI25+1)^IF(BI24&lt;Control!$H$18,-1,1)</f>
        <v>1.0019787931586202</v>
      </c>
      <c r="BJ26" s="1173">
        <f>(BJ25+1)^IF(BJ24&lt;Control!$H$18,-1,1)</f>
        <v>1.0019787931586202</v>
      </c>
      <c r="BK26" s="1173">
        <f>(BK25+1)^IF(BK24&lt;Control!$H$18,-1,1)</f>
        <v>1.0019787931586202</v>
      </c>
      <c r="BL26" s="1173">
        <f>(BL25+1)^IF(BL24&lt;Control!$H$18,-1,1)</f>
        <v>1.0019787931586202</v>
      </c>
      <c r="BM26" s="1173">
        <f>(BM25+1)^IF(BM24&lt;Control!$H$18,-1,1)</f>
        <v>1.0019787931586202</v>
      </c>
      <c r="BN26" s="1173">
        <f>(BN25+1)^IF(BN24&lt;Control!$H$18,-1,1)</f>
        <v>1.0019787931586202</v>
      </c>
      <c r="BO26" s="1173">
        <f>(BO25+1)^IF(BO24&lt;Control!$H$18,-1,1)</f>
        <v>1.0019787931586202</v>
      </c>
      <c r="BP26" s="1173">
        <f>(BP25+1)^IF(BP24&lt;Control!$H$18,-1,1)</f>
        <v>1.0019787931586202</v>
      </c>
      <c r="BQ26" s="1173">
        <f>(BQ25+1)^IF(BQ24&lt;Control!$H$18,-1,1)</f>
        <v>1.0019787931586202</v>
      </c>
      <c r="BR26" s="1173">
        <f>(BR25+1)^IF(BR24&lt;Control!$H$18,-1,1)</f>
        <v>1.0019787931586202</v>
      </c>
      <c r="BS26" s="1173">
        <f>(BS25+1)^IF(BS24&lt;Control!$H$18,-1,1)</f>
        <v>1.0019787931586202</v>
      </c>
      <c r="BT26" s="1173">
        <f>(BT25+1)^IF(BT24&lt;Control!$H$18,-1,1)</f>
        <v>1.0019850719015326</v>
      </c>
      <c r="BU26" s="1173">
        <f>(BU25+1)^IF(BU24&lt;Control!$H$18,-1,1)</f>
        <v>1.0019850719015326</v>
      </c>
      <c r="BV26" s="1173">
        <f>(BV25+1)^IF(BV24&lt;Control!$H$18,-1,1)</f>
        <v>1.0019850719015326</v>
      </c>
      <c r="BW26" s="1173">
        <f>(BW25+1)^IF(BW24&lt;Control!$H$18,-1,1)</f>
        <v>1.0019850719015326</v>
      </c>
      <c r="BX26" s="1173">
        <f>(BX25+1)^IF(BX24&lt;Control!$H$18,-1,1)</f>
        <v>1.0019850719015326</v>
      </c>
      <c r="BY26" s="1173">
        <f>(BY25+1)^IF(BY24&lt;Control!$H$18,-1,1)</f>
        <v>1.0019850719015326</v>
      </c>
      <c r="BZ26" s="1173">
        <f>(BZ25+1)^IF(BZ24&lt;Control!$H$18,-1,1)</f>
        <v>1.0019850719015326</v>
      </c>
      <c r="CA26" s="1173">
        <f>(CA25+1)^IF(CA24&lt;Control!$H$18,-1,1)</f>
        <v>1.0019850719015326</v>
      </c>
      <c r="CB26" s="1173">
        <f>(CB25+1)^IF(CB24&lt;Control!$H$18,-1,1)</f>
        <v>1.0019850719015326</v>
      </c>
      <c r="CC26" s="1173">
        <f>(CC25+1)^IF(CC24&lt;Control!$H$18,-1,1)</f>
        <v>1.0019850719015326</v>
      </c>
      <c r="CD26" s="1173">
        <f>(CD25+1)^IF(CD24&lt;Control!$H$18,-1,1)</f>
        <v>1.0019850719015326</v>
      </c>
      <c r="CE26" s="1173">
        <f>(CE25+1)^IF(CE24&lt;Control!$H$18,-1,1)</f>
        <v>1.0019850719015326</v>
      </c>
      <c r="CF26" s="1173">
        <f>(CF25+1)^IF(CF24&lt;Control!$H$18,-1,1)</f>
        <v>1.001995100512042</v>
      </c>
      <c r="CG26" s="1173">
        <f>(CG25+1)^IF(CG24&lt;Control!$H$18,-1,1)</f>
        <v>1.001995100512042</v>
      </c>
      <c r="CH26" s="1173">
        <f>(CH25+1)^IF(CH24&lt;Control!$H$18,-1,1)</f>
        <v>1.001995100512042</v>
      </c>
      <c r="CI26" s="1173">
        <f>(CI25+1)^IF(CI24&lt;Control!$H$18,-1,1)</f>
        <v>1.001995100512042</v>
      </c>
      <c r="CJ26" s="1173">
        <f>(CJ25+1)^IF(CJ24&lt;Control!$H$18,-1,1)</f>
        <v>1.001995100512042</v>
      </c>
      <c r="CK26" s="1173">
        <f>(CK25+1)^IF(CK24&lt;Control!$H$18,-1,1)</f>
        <v>1.001995100512042</v>
      </c>
      <c r="CL26" s="1173">
        <f>(CL25+1)^IF(CL24&lt;Control!$H$18,-1,1)</f>
        <v>1.001995100512042</v>
      </c>
      <c r="CM26" s="1173">
        <f>(CM25+1)^IF(CM24&lt;Control!$H$18,-1,1)</f>
        <v>1.001995100512042</v>
      </c>
      <c r="CN26" s="1173">
        <f>(CN25+1)^IF(CN24&lt;Control!$H$18,-1,1)</f>
        <v>1.001995100512042</v>
      </c>
      <c r="CO26" s="1173">
        <f>(CO25+1)^IF(CO24&lt;Control!$H$18,-1,1)</f>
        <v>1.001995100512042</v>
      </c>
      <c r="CP26" s="1173">
        <f>(CP25+1)^IF(CP24&lt;Control!$H$18,-1,1)</f>
        <v>1.001995100512042</v>
      </c>
      <c r="CQ26" s="1173">
        <f>(CQ25+1)^IF(CQ24&lt;Control!$H$18,-1,1)</f>
        <v>1.001995100512042</v>
      </c>
      <c r="CR26" s="1173">
        <f>(CR25+1)^IF(CR24&lt;Control!$H$18,-1,1)</f>
        <v>1.0020066242855974</v>
      </c>
      <c r="CS26" s="1173">
        <f>(CS25+1)^IF(CS24&lt;Control!$H$18,-1,1)</f>
        <v>1.0020066242855974</v>
      </c>
      <c r="CT26" s="1173">
        <f>(CT25+1)^IF(CT24&lt;Control!$H$18,-1,1)</f>
        <v>1.0020066242855974</v>
      </c>
      <c r="CU26" s="1173">
        <f>(CU25+1)^IF(CU24&lt;Control!$H$18,-1,1)</f>
        <v>1.0020066242855974</v>
      </c>
      <c r="CV26" s="1173">
        <f>(CV25+1)^IF(CV24&lt;Control!$H$18,-1,1)</f>
        <v>1.0020066242855974</v>
      </c>
      <c r="CW26" s="1173">
        <f>(CW25+1)^IF(CW24&lt;Control!$H$18,-1,1)</f>
        <v>1.0020066242855974</v>
      </c>
      <c r="CX26" s="1173">
        <f>(CX25+1)^IF(CX24&lt;Control!$H$18,-1,1)</f>
        <v>1.0020066242855974</v>
      </c>
      <c r="CY26" s="1173">
        <f>(CY25+1)^IF(CY24&lt;Control!$H$18,-1,1)</f>
        <v>1.0020066242855974</v>
      </c>
      <c r="CZ26" s="1173">
        <f>(CZ25+1)^IF(CZ24&lt;Control!$H$18,-1,1)</f>
        <v>1.0020066242855974</v>
      </c>
      <c r="DA26" s="1173">
        <f>(DA25+1)^IF(DA24&lt;Control!$H$18,-1,1)</f>
        <v>1.0020066242855974</v>
      </c>
      <c r="DB26" s="1173">
        <f>(DB25+1)^IF(DB24&lt;Control!$H$18,-1,1)</f>
        <v>1.0020066242855974</v>
      </c>
      <c r="DC26" s="1173">
        <f>(DC25+1)^IF(DC24&lt;Control!$H$18,-1,1)</f>
        <v>1.0020066242855974</v>
      </c>
      <c r="DD26" s="1173">
        <f>(DD25+1)^IF(DD24&lt;Control!$H$18,-1,1)</f>
        <v>1.0020185021668582</v>
      </c>
      <c r="DE26" s="1173">
        <f>(DE25+1)^IF(DE24&lt;Control!$H$18,-1,1)</f>
        <v>1.0020185021668582</v>
      </c>
      <c r="DF26" s="1173">
        <f>(DF25+1)^IF(DF24&lt;Control!$H$18,-1,1)</f>
        <v>1.0020185021668582</v>
      </c>
      <c r="DG26" s="1173">
        <f>(DG25+1)^IF(DG24&lt;Control!$H$18,-1,1)</f>
        <v>1.0020185021668582</v>
      </c>
      <c r="DH26" s="1173">
        <f>(DH25+1)^IF(DH24&lt;Control!$H$18,-1,1)</f>
        <v>1.0020185021668582</v>
      </c>
      <c r="DI26" s="1173">
        <f>(DI25+1)^IF(DI24&lt;Control!$H$18,-1,1)</f>
        <v>1.0020185021668582</v>
      </c>
      <c r="DJ26" s="1173">
        <f>(DJ25+1)^IF(DJ24&lt;Control!$H$18,-1,1)</f>
        <v>1.0020185021668582</v>
      </c>
      <c r="DK26" s="1173">
        <f>(DK25+1)^IF(DK24&lt;Control!$H$18,-1,1)</f>
        <v>1.0020185021668582</v>
      </c>
      <c r="DL26" s="1173">
        <f>(DL25+1)^IF(DL24&lt;Control!$H$18,-1,1)</f>
        <v>1.0020185021668582</v>
      </c>
      <c r="DM26" s="1173">
        <f>(DM25+1)^IF(DM24&lt;Control!$H$18,-1,1)</f>
        <v>1.0020185021668582</v>
      </c>
      <c r="DN26" s="1173">
        <f>(DN25+1)^IF(DN24&lt;Control!$H$18,-1,1)</f>
        <v>1.0020185021668582</v>
      </c>
      <c r="DO26" s="1173">
        <f>(DO25+1)^IF(DO24&lt;Control!$H$18,-1,1)</f>
        <v>1.0020185021668582</v>
      </c>
      <c r="DP26" s="1173">
        <f>(DP25+1)^IF(DP24&lt;Control!$H$18,-1,1)</f>
        <v>1.0020301862139855</v>
      </c>
      <c r="DQ26" s="1173">
        <f>(DQ25+1)^IF(DQ24&lt;Control!$H$18,-1,1)</f>
        <v>1.0020301862139855</v>
      </c>
      <c r="DR26" s="1173">
        <f>(DR25+1)^IF(DR24&lt;Control!$H$18,-1,1)</f>
        <v>1.0020301862139855</v>
      </c>
      <c r="DS26" s="1173">
        <f>(DS25+1)^IF(DS24&lt;Control!$H$18,-1,1)</f>
        <v>1.0020301862139855</v>
      </c>
      <c r="DT26" s="1173">
        <f>(DT25+1)^IF(DT24&lt;Control!$H$18,-1,1)</f>
        <v>1.0020301862139855</v>
      </c>
      <c r="DU26" s="1173">
        <f>(DU25+1)^IF(DU24&lt;Control!$H$18,-1,1)</f>
        <v>1.0020301862139855</v>
      </c>
      <c r="DV26" s="1173">
        <f>(DV25+1)^IF(DV24&lt;Control!$H$18,-1,1)</f>
        <v>1.0020301862139855</v>
      </c>
      <c r="DW26" s="1173">
        <f>(DW25+1)^IF(DW24&lt;Control!$H$18,-1,1)</f>
        <v>1.0020301862139855</v>
      </c>
      <c r="DX26" s="1173">
        <f>(DX25+1)^IF(DX24&lt;Control!$H$18,-1,1)</f>
        <v>1.0020301862139855</v>
      </c>
      <c r="DY26" s="1173">
        <f>(DY25+1)^IF(DY24&lt;Control!$H$18,-1,1)</f>
        <v>1.0020301862139855</v>
      </c>
      <c r="DZ26" s="1173">
        <f>(DZ25+1)^IF(DZ24&lt;Control!$H$18,-1,1)</f>
        <v>1.0020301862139855</v>
      </c>
      <c r="EA26" s="1173">
        <f>(EA25+1)^IF(EA24&lt;Control!$H$18,-1,1)</f>
        <v>1.0020301862139855</v>
      </c>
      <c r="EB26" s="1173">
        <f>(EB25+1)^IF(EB24&lt;Control!$H$18,-1,1)</f>
        <v>1.0020414120550771</v>
      </c>
      <c r="EC26" s="1173">
        <f>(EC25+1)^IF(EC24&lt;Control!$H$18,-1,1)</f>
        <v>1.0020414120550771</v>
      </c>
      <c r="ED26" s="1173">
        <f>(ED25+1)^IF(ED24&lt;Control!$H$18,-1,1)</f>
        <v>1.0020414120550771</v>
      </c>
      <c r="EE26" s="1173">
        <f>(EE25+1)^IF(EE24&lt;Control!$H$18,-1,1)</f>
        <v>1.0020414120550771</v>
      </c>
      <c r="EF26" s="1173">
        <f>(EF25+1)^IF(EF24&lt;Control!$H$18,-1,1)</f>
        <v>1.0020414120550771</v>
      </c>
      <c r="EG26" s="1173">
        <f>(EG25+1)^IF(EG24&lt;Control!$H$18,-1,1)</f>
        <v>1.0020414120550771</v>
      </c>
      <c r="EH26" s="1173">
        <f>(EH25+1)^IF(EH24&lt;Control!$H$18,-1,1)</f>
        <v>1.0020414120550771</v>
      </c>
      <c r="EI26" s="1173">
        <f>(EI25+1)^IF(EI24&lt;Control!$H$18,-1,1)</f>
        <v>1.0020414120550771</v>
      </c>
      <c r="EJ26" s="1173">
        <f>(EJ25+1)^IF(EJ24&lt;Control!$H$18,-1,1)</f>
        <v>1.0020414120550771</v>
      </c>
      <c r="EK26" s="1173">
        <f>(EK25+1)^IF(EK24&lt;Control!$H$18,-1,1)</f>
        <v>1.0020414120550771</v>
      </c>
      <c r="EL26" s="1173">
        <f>(EL25+1)^IF(EL24&lt;Control!$H$18,-1,1)</f>
        <v>1.0020414120550771</v>
      </c>
      <c r="EM26" s="1173">
        <f>(EM25+1)^IF(EM24&lt;Control!$H$18,-1,1)</f>
        <v>1.0020414120550771</v>
      </c>
      <c r="EN26" s="1173">
        <f>(EN25+1)^IF(EN24&lt;Control!$H$18,-1,1)</f>
        <v>1.0020520706262119</v>
      </c>
      <c r="EO26" s="1173">
        <f>(EO25+1)^IF(EO24&lt;Control!$H$18,-1,1)</f>
        <v>1.0020520706262119</v>
      </c>
      <c r="EP26" s="1173">
        <f>(EP25+1)^IF(EP24&lt;Control!$H$18,-1,1)</f>
        <v>1.0020520706262119</v>
      </c>
      <c r="EQ26" s="1173">
        <f>(EQ25+1)^IF(EQ24&lt;Control!$H$18,-1,1)</f>
        <v>1.0020520706262119</v>
      </c>
      <c r="ER26" s="1173">
        <f>(ER25+1)^IF(ER24&lt;Control!$H$18,-1,1)</f>
        <v>1.0020520706262119</v>
      </c>
      <c r="ES26" s="1173">
        <f>(ES25+1)^IF(ES24&lt;Control!$H$18,-1,1)</f>
        <v>1.0020520706262119</v>
      </c>
      <c r="ET26" s="1173">
        <f>(ET25+1)^IF(ET24&lt;Control!$H$18,-1,1)</f>
        <v>1.0020520706262119</v>
      </c>
      <c r="EU26" s="1173">
        <f>(EU25+1)^IF(EU24&lt;Control!$H$18,-1,1)</f>
        <v>1.0020520706262119</v>
      </c>
      <c r="EV26" s="1173">
        <f>(EV25+1)^IF(EV24&lt;Control!$H$18,-1,1)</f>
        <v>1.0020520706262119</v>
      </c>
      <c r="EW26" s="1173">
        <f>(EW25+1)^IF(EW24&lt;Control!$H$18,-1,1)</f>
        <v>1.0020520706262119</v>
      </c>
      <c r="EX26" s="1173">
        <f>(EX25+1)^IF(EX24&lt;Control!$H$18,-1,1)</f>
        <v>1.0020520706262119</v>
      </c>
      <c r="EY26" s="1173">
        <f>(EY25+1)^IF(EY24&lt;Control!$H$18,-1,1)</f>
        <v>1.0020520706262119</v>
      </c>
      <c r="EZ26" s="1173">
        <f>(EZ25+1)^IF(EZ24&lt;Control!$H$18,-1,1)</f>
        <v>1.0020621183533729</v>
      </c>
      <c r="FA26" s="1173">
        <f>(FA25+1)^IF(FA24&lt;Control!$H$18,-1,1)</f>
        <v>1.0020621183533729</v>
      </c>
      <c r="FB26" s="1173">
        <f>(FB25+1)^IF(FB24&lt;Control!$H$18,-1,1)</f>
        <v>1.0020621183533729</v>
      </c>
      <c r="FC26" s="1173">
        <f>(FC25+1)^IF(FC24&lt;Control!$H$18,-1,1)</f>
        <v>1.0020621183533729</v>
      </c>
      <c r="FD26" s="1173">
        <f>(FD25+1)^IF(FD24&lt;Control!$H$18,-1,1)</f>
        <v>1.0020621183533729</v>
      </c>
      <c r="FE26" s="1173">
        <f>(FE25+1)^IF(FE24&lt;Control!$H$18,-1,1)</f>
        <v>1.0020621183533729</v>
      </c>
      <c r="FF26" s="1173">
        <f>(FF25+1)^IF(FF24&lt;Control!$H$18,-1,1)</f>
        <v>1.0020621183533729</v>
      </c>
      <c r="FG26" s="1173">
        <f>(FG25+1)^IF(FG24&lt;Control!$H$18,-1,1)</f>
        <v>1.0020621183533729</v>
      </c>
      <c r="FH26" s="1173">
        <f>(FH25+1)^IF(FH24&lt;Control!$H$18,-1,1)</f>
        <v>1.0020621183533729</v>
      </c>
      <c r="FI26" s="1173">
        <f>(FI25+1)^IF(FI24&lt;Control!$H$18,-1,1)</f>
        <v>1.0020621183533729</v>
      </c>
      <c r="FJ26" s="1173">
        <f>(FJ25+1)^IF(FJ24&lt;Control!$H$18,-1,1)</f>
        <v>1.0020621183533729</v>
      </c>
      <c r="FK26" s="1173">
        <f>(FK25+1)^IF(FK24&lt;Control!$H$18,-1,1)</f>
        <v>1.0020621183533729</v>
      </c>
      <c r="FL26" s="1173">
        <f>(FL25+1)^IF(FL24&lt;Control!$H$18,-1,1)</f>
        <v>1.0020715644272038</v>
      </c>
      <c r="FM26" s="1173">
        <f>(FM25+1)^IF(FM24&lt;Control!$H$18,-1,1)</f>
        <v>1.0020715644272038</v>
      </c>
      <c r="FN26" s="1173">
        <f>(FN25+1)^IF(FN24&lt;Control!$H$18,-1,1)</f>
        <v>1.0020715644272038</v>
      </c>
      <c r="FO26" s="1173">
        <f>(FO25+1)^IF(FO24&lt;Control!$H$18,-1,1)</f>
        <v>1.0020715644272038</v>
      </c>
      <c r="FP26" s="1173">
        <f>(FP25+1)^IF(FP24&lt;Control!$H$18,-1,1)</f>
        <v>1.0020715644272038</v>
      </c>
      <c r="FQ26" s="1173">
        <f>(FQ25+1)^IF(FQ24&lt;Control!$H$18,-1,1)</f>
        <v>1.0020715644272038</v>
      </c>
      <c r="FR26" s="1173">
        <f>(FR25+1)^IF(FR24&lt;Control!$H$18,-1,1)</f>
        <v>1.0020715644272038</v>
      </c>
      <c r="FS26" s="1173">
        <f>(FS25+1)^IF(FS24&lt;Control!$H$18,-1,1)</f>
        <v>1.0020715644272038</v>
      </c>
      <c r="FT26" s="1173">
        <f>(FT25+1)^IF(FT24&lt;Control!$H$18,-1,1)</f>
        <v>1.0020715644272038</v>
      </c>
      <c r="FU26" s="1173">
        <f>(FU25+1)^IF(FU24&lt;Control!$H$18,-1,1)</f>
        <v>1.0020715644272038</v>
      </c>
      <c r="FV26" s="1173">
        <f>(FV25+1)^IF(FV24&lt;Control!$H$18,-1,1)</f>
        <v>1.0020715644272038</v>
      </c>
      <c r="FW26" s="1173">
        <f>(FW25+1)^IF(FW24&lt;Control!$H$18,-1,1)</f>
        <v>1.0020715644272038</v>
      </c>
      <c r="FX26" s="1173">
        <f>(FX25+1)^IF(FX24&lt;Control!$H$18,-1,1)</f>
        <v>1.0020804258829554</v>
      </c>
      <c r="FY26" s="1173">
        <f>(FY25+1)^IF(FY24&lt;Control!$H$18,-1,1)</f>
        <v>1.0020804258829554</v>
      </c>
      <c r="FZ26" s="1173">
        <f>(FZ25+1)^IF(FZ24&lt;Control!$H$18,-1,1)</f>
        <v>1.0020804258829554</v>
      </c>
      <c r="GA26" s="1173">
        <f>(GA25+1)^IF(GA24&lt;Control!$H$18,-1,1)</f>
        <v>1.0020804258829554</v>
      </c>
      <c r="GB26" s="1173">
        <f>(GB25+1)^IF(GB24&lt;Control!$H$18,-1,1)</f>
        <v>1.0020804258829554</v>
      </c>
      <c r="GC26" s="1173">
        <f>(GC25+1)^IF(GC24&lt;Control!$H$18,-1,1)</f>
        <v>1.0020804258829554</v>
      </c>
      <c r="GD26" s="1173">
        <f>(GD25+1)^IF(GD24&lt;Control!$H$18,-1,1)</f>
        <v>1.0020804258829554</v>
      </c>
      <c r="GE26" s="1173">
        <f>(GE25+1)^IF(GE24&lt;Control!$H$18,-1,1)</f>
        <v>1.0020804258829554</v>
      </c>
      <c r="GF26" s="1173">
        <f>(GF25+1)^IF(GF24&lt;Control!$H$18,-1,1)</f>
        <v>1.0020804258829554</v>
      </c>
      <c r="GG26" s="1173">
        <f>(GG25+1)^IF(GG24&lt;Control!$H$18,-1,1)</f>
        <v>1.0020804258829554</v>
      </c>
      <c r="GH26" s="1173">
        <f>(GH25+1)^IF(GH24&lt;Control!$H$18,-1,1)</f>
        <v>1.0020804258829554</v>
      </c>
      <c r="GI26" s="1173">
        <f>(GI25+1)^IF(GI24&lt;Control!$H$18,-1,1)</f>
        <v>1.0020804258829554</v>
      </c>
      <c r="GJ26" s="1173">
        <f>(GJ25+1)^IF(GJ24&lt;Control!$H$18,-1,1)</f>
        <v>1.0020887323262329</v>
      </c>
      <c r="GK26" s="1173">
        <f>(GK25+1)^IF(GK24&lt;Control!$H$18,-1,1)</f>
        <v>1.0020887323262329</v>
      </c>
      <c r="GL26" s="1173">
        <f>(GL25+1)^IF(GL24&lt;Control!$H$18,-1,1)</f>
        <v>1.0020887323262329</v>
      </c>
      <c r="GM26" s="1173">
        <f>(GM25+1)^IF(GM24&lt;Control!$H$18,-1,1)</f>
        <v>1.0020887323262329</v>
      </c>
      <c r="GN26" s="1173">
        <f>(GN25+1)^IF(GN24&lt;Control!$H$18,-1,1)</f>
        <v>1.0020887323262329</v>
      </c>
      <c r="GO26" s="1173">
        <f>(GO25+1)^IF(GO24&lt;Control!$H$18,-1,1)</f>
        <v>1.0020887323262329</v>
      </c>
      <c r="GP26" s="1173">
        <f>(GP25+1)^IF(GP24&lt;Control!$H$18,-1,1)</f>
        <v>1.0020887323262329</v>
      </c>
      <c r="GQ26" s="1173">
        <f>(GQ25+1)^IF(GQ24&lt;Control!$H$18,-1,1)</f>
        <v>1.0020887323262329</v>
      </c>
      <c r="GR26" s="1173">
        <f>(GR25+1)^IF(GR24&lt;Control!$H$18,-1,1)</f>
        <v>1.0020887323262329</v>
      </c>
      <c r="GS26" s="1173">
        <f>(GS25+1)^IF(GS24&lt;Control!$H$18,-1,1)</f>
        <v>1.0020887323262329</v>
      </c>
      <c r="GT26" s="1173">
        <f>(GT25+1)^IF(GT24&lt;Control!$H$18,-1,1)</f>
        <v>1.0020887323262329</v>
      </c>
      <c r="GU26" s="1173">
        <f>(GU25+1)^IF(GU24&lt;Control!$H$18,-1,1)</f>
        <v>1.0020887323262329</v>
      </c>
      <c r="GV26" s="1173">
        <f>(GV25+1)^IF(GV24&lt;Control!$H$18,-1,1)</f>
        <v>1.0020965084648432</v>
      </c>
      <c r="GW26" s="1173">
        <f>(GW25+1)^IF(GW24&lt;Control!$H$18,-1,1)</f>
        <v>1.0020965084648432</v>
      </c>
      <c r="GX26" s="1173">
        <f>(GX25+1)^IF(GX24&lt;Control!$H$18,-1,1)</f>
        <v>1.0020965084648432</v>
      </c>
      <c r="GY26" s="1173">
        <f>(GY25+1)^IF(GY24&lt;Control!$H$18,-1,1)</f>
        <v>1.0020965084648432</v>
      </c>
      <c r="GZ26" s="1173">
        <f>(GZ25+1)^IF(GZ24&lt;Control!$H$18,-1,1)</f>
        <v>1.0020965084648432</v>
      </c>
      <c r="HA26" s="1173">
        <f>(HA25+1)^IF(HA24&lt;Control!$H$18,-1,1)</f>
        <v>1.0020965084648432</v>
      </c>
      <c r="HB26" s="1173">
        <f>(HB25+1)^IF(HB24&lt;Control!$H$18,-1,1)</f>
        <v>1.0020965084648432</v>
      </c>
      <c r="HC26" s="1173">
        <f>(HC25+1)^IF(HC24&lt;Control!$H$18,-1,1)</f>
        <v>1.0020965084648432</v>
      </c>
      <c r="HD26" s="1173">
        <f>(HD25+1)^IF(HD24&lt;Control!$H$18,-1,1)</f>
        <v>1.0020965084648432</v>
      </c>
      <c r="HE26" s="1173">
        <f>(HE25+1)^IF(HE24&lt;Control!$H$18,-1,1)</f>
        <v>1.0020965084648432</v>
      </c>
      <c r="HF26" s="1173">
        <f>(HF25+1)^IF(HF24&lt;Control!$H$18,-1,1)</f>
        <v>1.0020965084648432</v>
      </c>
      <c r="HG26" s="1173">
        <f>(HG25+1)^IF(HG24&lt;Control!$H$18,-1,1)</f>
        <v>1.0020965084648432</v>
      </c>
      <c r="HH26" s="1173">
        <f>(HH25+1)^IF(HH24&lt;Control!$H$18,-1,1)</f>
        <v>1.0021037913650201</v>
      </c>
      <c r="HI26" s="1173">
        <f>(HI25+1)^IF(HI24&lt;Control!$H$18,-1,1)</f>
        <v>1.0021037913650201</v>
      </c>
      <c r="HJ26" s="1173">
        <f>(HJ25+1)^IF(HJ24&lt;Control!$H$18,-1,1)</f>
        <v>1.0021037913650201</v>
      </c>
      <c r="HK26" s="1173">
        <f>(HK25+1)^IF(HK24&lt;Control!$H$18,-1,1)</f>
        <v>1.0021037913650201</v>
      </c>
      <c r="HL26" s="1173">
        <f>(HL25+1)^IF(HL24&lt;Control!$H$18,-1,1)</f>
        <v>1.0021037913650201</v>
      </c>
      <c r="HM26" s="1173">
        <f>(HM25+1)^IF(HM24&lt;Control!$H$18,-1,1)</f>
        <v>1.0021037913650201</v>
      </c>
      <c r="HN26" s="1173">
        <f>(HN25+1)^IF(HN24&lt;Control!$H$18,-1,1)</f>
        <v>1.0021037913650201</v>
      </c>
      <c r="HO26" s="1173">
        <f>(HO25+1)^IF(HO24&lt;Control!$H$18,-1,1)</f>
        <v>1.0021037913650201</v>
      </c>
      <c r="HP26" s="1173">
        <f>(HP25+1)^IF(HP24&lt;Control!$H$18,-1,1)</f>
        <v>1.0021037913650201</v>
      </c>
      <c r="HQ26" s="1173">
        <f>(HQ25+1)^IF(HQ24&lt;Control!$H$18,-1,1)</f>
        <v>1.0021037913650201</v>
      </c>
      <c r="HR26" s="1173">
        <f>(HR25+1)^IF(HR24&lt;Control!$H$18,-1,1)</f>
        <v>1.0021037913650201</v>
      </c>
      <c r="HS26" s="1173">
        <f>(HS25+1)^IF(HS24&lt;Control!$H$18,-1,1)</f>
        <v>1.0021037913650201</v>
      </c>
      <c r="HT26" s="1173">
        <f>(HT25+1)^IF(HT24&lt;Control!$H$18,-1,1)</f>
        <v>1.0021106094489232</v>
      </c>
      <c r="HU26" s="1173">
        <f>(HU25+1)^IF(HU24&lt;Control!$H$18,-1,1)</f>
        <v>1.0021106094489232</v>
      </c>
      <c r="HV26" s="1173">
        <f>(HV25+1)^IF(HV24&lt;Control!$H$18,-1,1)</f>
        <v>1.0021106094489232</v>
      </c>
      <c r="HW26" s="1173">
        <f>(HW25+1)^IF(HW24&lt;Control!$H$18,-1,1)</f>
        <v>1.0021106094489232</v>
      </c>
      <c r="HX26" s="1173">
        <f>(HX25+1)^IF(HX24&lt;Control!$H$18,-1,1)</f>
        <v>1.0021106094489232</v>
      </c>
      <c r="HY26" s="1173">
        <f>(HY25+1)^IF(HY24&lt;Control!$H$18,-1,1)</f>
        <v>1.0021106094489232</v>
      </c>
      <c r="HZ26" s="1173">
        <f>(HZ25+1)^IF(HZ24&lt;Control!$H$18,-1,1)</f>
        <v>1.0021106094489232</v>
      </c>
      <c r="IA26" s="1173">
        <f>(IA25+1)^IF(IA24&lt;Control!$H$18,-1,1)</f>
        <v>1.0021106094489232</v>
      </c>
      <c r="IB26" s="1173">
        <f>(IB25+1)^IF(IB24&lt;Control!$H$18,-1,1)</f>
        <v>1.0021106094489232</v>
      </c>
      <c r="IC26" s="1173">
        <f>(IC25+1)^IF(IC24&lt;Control!$H$18,-1,1)</f>
        <v>1.0021106094489232</v>
      </c>
      <c r="ID26" s="1173">
        <f>(ID25+1)^IF(ID24&lt;Control!$H$18,-1,1)</f>
        <v>1.0021106094489232</v>
      </c>
      <c r="IE26" s="1173">
        <f>(IE25+1)^IF(IE24&lt;Control!$H$18,-1,1)</f>
        <v>1.0021106094489232</v>
      </c>
      <c r="IF26" s="1173">
        <f>(IF25+1)^IF(IF24&lt;Control!$H$18,-1,1)</f>
        <v>1.0021169933345304</v>
      </c>
      <c r="IG26" s="1173">
        <f>(IG25+1)^IF(IG24&lt;Control!$H$18,-1,1)</f>
        <v>1.0021169933345304</v>
      </c>
      <c r="IH26" s="1173">
        <f>(IH25+1)^IF(IH24&lt;Control!$H$18,-1,1)</f>
        <v>1.0021169933345304</v>
      </c>
      <c r="II26" s="1173">
        <f>(II25+1)^IF(II24&lt;Control!$H$18,-1,1)</f>
        <v>1.0021169933345304</v>
      </c>
      <c r="IJ26" s="1173">
        <f>(IJ25+1)^IF(IJ24&lt;Control!$H$18,-1,1)</f>
        <v>1.0021169933345304</v>
      </c>
      <c r="IK26" s="1173">
        <f>(IK25+1)^IF(IK24&lt;Control!$H$18,-1,1)</f>
        <v>1.0021169933345304</v>
      </c>
      <c r="IL26" s="1173">
        <f>(IL25+1)^IF(IL24&lt;Control!$H$18,-1,1)</f>
        <v>1.0021169933345304</v>
      </c>
      <c r="IM26" s="1173">
        <f>(IM25+1)^IF(IM24&lt;Control!$H$18,-1,1)</f>
        <v>1.0021169933345304</v>
      </c>
      <c r="IN26" s="1173">
        <f>(IN25+1)^IF(IN24&lt;Control!$H$18,-1,1)</f>
        <v>1.0021169933345304</v>
      </c>
      <c r="IO26" s="1173">
        <f>(IO25+1)^IF(IO24&lt;Control!$H$18,-1,1)</f>
        <v>1.0021169933345304</v>
      </c>
      <c r="IP26" s="1173">
        <f>(IP25+1)^IF(IP24&lt;Control!$H$18,-1,1)</f>
        <v>1.0021169933345304</v>
      </c>
      <c r="IQ26" s="1173">
        <f>(IQ25+1)^IF(IQ24&lt;Control!$H$18,-1,1)</f>
        <v>1.0021169933345304</v>
      </c>
      <c r="IR26" s="1173">
        <f>(IR25+1)^IF(IR24&lt;Control!$H$18,-1,1)</f>
        <v>1.002122966027452</v>
      </c>
      <c r="IS26" s="1173">
        <f>(IS25+1)^IF(IS24&lt;Control!$H$18,-1,1)</f>
        <v>1.002122966027452</v>
      </c>
      <c r="IT26" s="1173">
        <f>(IT25+1)^IF(IT24&lt;Control!$H$18,-1,1)</f>
        <v>1.002122966027452</v>
      </c>
      <c r="IU26" s="1173">
        <f>(IU25+1)^IF(IU24&lt;Control!$H$18,-1,1)</f>
        <v>1.002122966027452</v>
      </c>
      <c r="IV26" s="1173">
        <f>(IV25+1)^IF(IV24&lt;Control!$H$18,-1,1)</f>
        <v>1.002122966027452</v>
      </c>
      <c r="IW26" s="1173">
        <f>(IW25+1)^IF(IW24&lt;Control!$H$18,-1,1)</f>
        <v>1.002122966027452</v>
      </c>
      <c r="IX26" s="1173">
        <f>(IX25+1)^IF(IX24&lt;Control!$H$18,-1,1)</f>
        <v>1.002122966027452</v>
      </c>
      <c r="IY26" s="1173">
        <f>(IY25+1)^IF(IY24&lt;Control!$H$18,-1,1)</f>
        <v>1.002122966027452</v>
      </c>
      <c r="IZ26" s="1173">
        <f>(IZ25+1)^IF(IZ24&lt;Control!$H$18,-1,1)</f>
        <v>1.002122966027452</v>
      </c>
      <c r="JA26" s="1173">
        <f>(JA25+1)^IF(JA24&lt;Control!$H$18,-1,1)</f>
        <v>1.002122966027452</v>
      </c>
      <c r="JB26" s="1173">
        <f>(JB25+1)^IF(JB24&lt;Control!$H$18,-1,1)</f>
        <v>1.002122966027452</v>
      </c>
      <c r="JC26" s="1173">
        <f>(JC25+1)^IF(JC24&lt;Control!$H$18,-1,1)</f>
        <v>1.002122966027452</v>
      </c>
      <c r="JD26" s="1173">
        <f>(JD25+1)^IF(JD24&lt;Control!$H$18,-1,1)</f>
        <v>1.0021285580540391</v>
      </c>
      <c r="JE26" s="1173">
        <f>(JE25+1)^IF(JE24&lt;Control!$H$18,-1,1)</f>
        <v>1.0021285580540391</v>
      </c>
      <c r="JF26" s="1173">
        <f>(JF25+1)^IF(JF24&lt;Control!$H$18,-1,1)</f>
        <v>1.0021285580540391</v>
      </c>
      <c r="JG26" s="1173">
        <f>(JG25+1)^IF(JG24&lt;Control!$H$18,-1,1)</f>
        <v>1.0021285580540391</v>
      </c>
      <c r="JH26" s="1173">
        <f>(JH25+1)^IF(JH24&lt;Control!$H$18,-1,1)</f>
        <v>1.0021285580540391</v>
      </c>
      <c r="JI26" s="1173">
        <f>(JI25+1)^IF(JI24&lt;Control!$H$18,-1,1)</f>
        <v>1.0021285580540391</v>
      </c>
      <c r="JJ26" s="1173">
        <f>(JJ25+1)^IF(JJ24&lt;Control!$H$18,-1,1)</f>
        <v>1.0021285580540391</v>
      </c>
      <c r="JK26" s="1173">
        <f>(JK25+1)^IF(JK24&lt;Control!$H$18,-1,1)</f>
        <v>1.0021285580540391</v>
      </c>
      <c r="JL26" s="1173">
        <f>(JL25+1)^IF(JL24&lt;Control!$H$18,-1,1)</f>
        <v>1.0021285580540391</v>
      </c>
      <c r="JM26" s="1173">
        <f>(JM25+1)^IF(JM24&lt;Control!$H$18,-1,1)</f>
        <v>1.0021285580540391</v>
      </c>
      <c r="JN26" s="1173">
        <f>(JN25+1)^IF(JN24&lt;Control!$H$18,-1,1)</f>
        <v>1.0021285580540391</v>
      </c>
      <c r="JO26" s="1173">
        <f>(JO25+1)^IF(JO24&lt;Control!$H$18,-1,1)</f>
        <v>1.0021285580540391</v>
      </c>
      <c r="JP26" s="1173">
        <f>(JP25+1)^IF(JP24&lt;Control!$H$18,-1,1)</f>
        <v>1.0021337922838327</v>
      </c>
      <c r="JQ26" s="1173">
        <f>(JQ25+1)^IF(JQ24&lt;Control!$H$18,-1,1)</f>
        <v>1.0021337922838327</v>
      </c>
      <c r="JR26" s="1173">
        <f>(JR25+1)^IF(JR24&lt;Control!$H$18,-1,1)</f>
        <v>1.0021337922838327</v>
      </c>
      <c r="JS26" s="1173">
        <f>(JS25+1)^IF(JS24&lt;Control!$H$18,-1,1)</f>
        <v>1.0021337922838327</v>
      </c>
      <c r="JT26" s="1173">
        <f>(JT25+1)^IF(JT24&lt;Control!$H$18,-1,1)</f>
        <v>1.0021337922838327</v>
      </c>
      <c r="JU26" s="1173">
        <f>(JU25+1)^IF(JU24&lt;Control!$H$18,-1,1)</f>
        <v>1.0021337922838327</v>
      </c>
      <c r="JV26" s="1173">
        <f>(JV25+1)^IF(JV24&lt;Control!$H$18,-1,1)</f>
        <v>1.0021337922838327</v>
      </c>
      <c r="JW26" s="1173">
        <f>(JW25+1)^IF(JW24&lt;Control!$H$18,-1,1)</f>
        <v>1.0021337922838327</v>
      </c>
      <c r="JX26" s="1173">
        <f>(JX25+1)^IF(JX24&lt;Control!$H$18,-1,1)</f>
        <v>1.0021337922838327</v>
      </c>
      <c r="JY26" s="1173">
        <f>(JY25+1)^IF(JY24&lt;Control!$H$18,-1,1)</f>
        <v>1.0021337922838327</v>
      </c>
      <c r="JZ26" s="1173">
        <f>(JZ25+1)^IF(JZ24&lt;Control!$H$18,-1,1)</f>
        <v>1.0021337922838327</v>
      </c>
      <c r="KA26" s="1173">
        <f>(KA25+1)^IF(KA24&lt;Control!$H$18,-1,1)</f>
        <v>1.0021337922838327</v>
      </c>
      <c r="KB26" s="1173">
        <f>(KB25+1)^IF(KB24&lt;Control!$H$18,-1,1)</f>
        <v>1.0021386927531675</v>
      </c>
      <c r="KC26" s="1173">
        <f>(KC25+1)^IF(KC24&lt;Control!$H$18,-1,1)</f>
        <v>1.0021386927531675</v>
      </c>
      <c r="KD26" s="1173">
        <f>(KD25+1)^IF(KD24&lt;Control!$H$18,-1,1)</f>
        <v>1.0021386927531675</v>
      </c>
      <c r="KE26" s="1173">
        <f>(KE25+1)^IF(KE24&lt;Control!$H$18,-1,1)</f>
        <v>1.0021386927531675</v>
      </c>
      <c r="KF26" s="1173">
        <f>(KF25+1)^IF(KF24&lt;Control!$H$18,-1,1)</f>
        <v>1.0021386927531675</v>
      </c>
      <c r="KG26" s="1173">
        <f>(KG25+1)^IF(KG24&lt;Control!$H$18,-1,1)</f>
        <v>1.0021386927531675</v>
      </c>
      <c r="KH26" s="1173">
        <f>(KH25+1)^IF(KH24&lt;Control!$H$18,-1,1)</f>
        <v>1.0021386927531675</v>
      </c>
      <c r="KI26" s="1173">
        <f>(KI25+1)^IF(KI24&lt;Control!$H$18,-1,1)</f>
        <v>1.0021386927531675</v>
      </c>
      <c r="KJ26" s="1173">
        <f>(KJ25+1)^IF(KJ24&lt;Control!$H$18,-1,1)</f>
        <v>1.0021386927531675</v>
      </c>
      <c r="KK26" s="1173">
        <f>(KK25+1)^IF(KK24&lt;Control!$H$18,-1,1)</f>
        <v>1.0021386927531675</v>
      </c>
      <c r="KL26" s="1173">
        <f>(KL25+1)^IF(KL24&lt;Control!$H$18,-1,1)</f>
        <v>1.0021386927531675</v>
      </c>
      <c r="KM26" s="1173">
        <f>(KM25+1)^IF(KM24&lt;Control!$H$18,-1,1)</f>
        <v>1.0021386927531675</v>
      </c>
      <c r="KN26" s="1173">
        <f>(KN25+1)^IF(KN24&lt;Control!$H$18,-1,1)</f>
        <v>1.0021432773884009</v>
      </c>
      <c r="KO26" s="1173">
        <f>(KO25+1)^IF(KO24&lt;Control!$H$18,-1,1)</f>
        <v>1.0021432773884009</v>
      </c>
      <c r="KP26" s="1173">
        <f>(KP25+1)^IF(KP24&lt;Control!$H$18,-1,1)</f>
        <v>1.0021432773884009</v>
      </c>
      <c r="KQ26" s="1173">
        <f>(KQ25+1)^IF(KQ24&lt;Control!$H$18,-1,1)</f>
        <v>1.0021432773884009</v>
      </c>
      <c r="KR26" s="1173">
        <f>(KR25+1)^IF(KR24&lt;Control!$H$18,-1,1)</f>
        <v>1.0021432773884009</v>
      </c>
      <c r="KS26" s="1173">
        <f>(KS25+1)^IF(KS24&lt;Control!$H$18,-1,1)</f>
        <v>1.0021432773884009</v>
      </c>
      <c r="KT26" s="1173">
        <f>(KT25+1)^IF(KT24&lt;Control!$H$18,-1,1)</f>
        <v>1.0021432773884009</v>
      </c>
      <c r="KU26" s="1173">
        <f>(KU25+1)^IF(KU24&lt;Control!$H$18,-1,1)</f>
        <v>1.0021432773884009</v>
      </c>
      <c r="KV26" s="1173">
        <f>(KV25+1)^IF(KV24&lt;Control!$H$18,-1,1)</f>
        <v>1.0021432773884009</v>
      </c>
      <c r="KW26" s="1173">
        <f>(KW25+1)^IF(KW24&lt;Control!$H$18,-1,1)</f>
        <v>1.0021432773884009</v>
      </c>
      <c r="KX26" s="1173">
        <f>(KX25+1)^IF(KX24&lt;Control!$H$18,-1,1)</f>
        <v>1.0021432773884009</v>
      </c>
      <c r="KY26" s="1173">
        <f>(KY25+1)^IF(KY24&lt;Control!$H$18,-1,1)</f>
        <v>1.0021432773884009</v>
      </c>
      <c r="KZ26" s="1173">
        <f>(KZ25+1)^IF(KZ24&lt;Control!$H$18,-1,1)</f>
        <v>1.002147569753002</v>
      </c>
      <c r="LA26" s="1173">
        <f>(LA25+1)^IF(LA24&lt;Control!$H$18,-1,1)</f>
        <v>1.002147569753002</v>
      </c>
      <c r="LB26" s="1173">
        <f>(LB25+1)^IF(LB24&lt;Control!$H$18,-1,1)</f>
        <v>1.002147569753002</v>
      </c>
      <c r="LC26" s="1173">
        <f>(LC25+1)^IF(LC24&lt;Control!$H$18,-1,1)</f>
        <v>1.002147569753002</v>
      </c>
      <c r="LD26" s="1173">
        <f>(LD25+1)^IF(LD24&lt;Control!$H$18,-1,1)</f>
        <v>1.002147569753002</v>
      </c>
      <c r="LE26" s="1173">
        <f>(LE25+1)^IF(LE24&lt;Control!$H$18,-1,1)</f>
        <v>1.002147569753002</v>
      </c>
      <c r="LF26" s="1173">
        <f>(LF25+1)^IF(LF24&lt;Control!$H$18,-1,1)</f>
        <v>1.002147569753002</v>
      </c>
      <c r="LG26" s="1173">
        <f>(LG25+1)^IF(LG24&lt;Control!$H$18,-1,1)</f>
        <v>1.002147569753002</v>
      </c>
      <c r="LH26" s="1173">
        <f>(LH25+1)^IF(LH24&lt;Control!$H$18,-1,1)</f>
        <v>1.002147569753002</v>
      </c>
      <c r="LI26" s="1173">
        <f>(LI25+1)^IF(LI24&lt;Control!$H$18,-1,1)</f>
        <v>1.002147569753002</v>
      </c>
      <c r="LJ26" s="1173">
        <f>(LJ25+1)^IF(LJ24&lt;Control!$H$18,-1,1)</f>
        <v>1.002147569753002</v>
      </c>
      <c r="LK26" s="1173">
        <f>(LK25+1)^IF(LK24&lt;Control!$H$18,-1,1)</f>
        <v>1.002147569753002</v>
      </c>
      <c r="LL26" s="1173">
        <f>(LL25+1)^IF(LL24&lt;Control!$H$18,-1,1)</f>
        <v>1.002151587463759</v>
      </c>
      <c r="LM26" s="1173">
        <f>(LM25+1)^IF(LM24&lt;Control!$H$18,-1,1)</f>
        <v>1.002151587463759</v>
      </c>
      <c r="LN26" s="1173">
        <f>(LN25+1)^IF(LN24&lt;Control!$H$18,-1,1)</f>
        <v>1.002151587463759</v>
      </c>
      <c r="LO26" s="1173">
        <f>(LO25+1)^IF(LO24&lt;Control!$H$18,-1,1)</f>
        <v>1.002151587463759</v>
      </c>
      <c r="LP26" s="1173">
        <f>(LP25+1)^IF(LP24&lt;Control!$H$18,-1,1)</f>
        <v>1.002151587463759</v>
      </c>
      <c r="LQ26" s="1173">
        <f>(LQ25+1)^IF(LQ24&lt;Control!$H$18,-1,1)</f>
        <v>1.002151587463759</v>
      </c>
      <c r="LR26" s="1173">
        <f>(LR25+1)^IF(LR24&lt;Control!$H$18,-1,1)</f>
        <v>1.002151587463759</v>
      </c>
      <c r="LS26" s="1173">
        <f>(LS25+1)^IF(LS24&lt;Control!$H$18,-1,1)</f>
        <v>1.002151587463759</v>
      </c>
      <c r="LT26" s="1173">
        <f>(LT25+1)^IF(LT24&lt;Control!$H$18,-1,1)</f>
        <v>1.002151587463759</v>
      </c>
      <c r="LU26" s="1173">
        <f>(LU25+1)^IF(LU24&lt;Control!$H$18,-1,1)</f>
        <v>1.002151587463759</v>
      </c>
      <c r="LV26" s="1173">
        <f>(LV25+1)^IF(LV24&lt;Control!$H$18,-1,1)</f>
        <v>1.002151587463759</v>
      </c>
      <c r="LW26" s="1173">
        <f>(LW25+1)^IF(LW24&lt;Control!$H$18,-1,1)</f>
        <v>1.002151587463759</v>
      </c>
      <c r="LX26" s="1173">
        <f>(LX25+1)^IF(LX24&lt;Control!$H$18,-1,1)</f>
        <v>1.002155348998321</v>
      </c>
      <c r="LY26" s="1173">
        <f>(LY25+1)^IF(LY24&lt;Control!$H$18,-1,1)</f>
        <v>1.002155348998321</v>
      </c>
      <c r="LZ26" s="1173">
        <f>(LZ25+1)^IF(LZ24&lt;Control!$H$18,-1,1)</f>
        <v>1.002155348998321</v>
      </c>
      <c r="MA26" s="1173">
        <f>(MA25+1)^IF(MA24&lt;Control!$H$18,-1,1)</f>
        <v>1.002155348998321</v>
      </c>
      <c r="MB26" s="1173">
        <f>(MB25+1)^IF(MB24&lt;Control!$H$18,-1,1)</f>
        <v>1.002155348998321</v>
      </c>
      <c r="MC26" s="1173">
        <f>(MC25+1)^IF(MC24&lt;Control!$H$18,-1,1)</f>
        <v>1.002155348998321</v>
      </c>
      <c r="MD26" s="1173">
        <f>(MD25+1)^IF(MD24&lt;Control!$H$18,-1,1)</f>
        <v>1.002155348998321</v>
      </c>
      <c r="ME26" s="1173">
        <f>(ME25+1)^IF(ME24&lt;Control!$H$18,-1,1)</f>
        <v>1.002155348998321</v>
      </c>
      <c r="MF26" s="1173">
        <f>(MF25+1)^IF(MF24&lt;Control!$H$18,-1,1)</f>
        <v>1.002155348998321</v>
      </c>
      <c r="MG26" s="1173">
        <f>(MG25+1)^IF(MG24&lt;Control!$H$18,-1,1)</f>
        <v>1.002155348998321</v>
      </c>
      <c r="MH26" s="1173">
        <f>(MH25+1)^IF(MH24&lt;Control!$H$18,-1,1)</f>
        <v>1.002155348998321</v>
      </c>
      <c r="MI26" s="1173">
        <f>(MI25+1)^IF(MI24&lt;Control!$H$18,-1,1)</f>
        <v>1.002155348998321</v>
      </c>
      <c r="MJ26" s="1173">
        <f>(MJ25+1)^IF(MJ24&lt;Control!$H$18,-1,1)</f>
        <v>1.002158868127109</v>
      </c>
      <c r="MK26" s="1173">
        <f>(MK25+1)^IF(MK24&lt;Control!$H$18,-1,1)</f>
        <v>1.002158868127109</v>
      </c>
      <c r="ML26" s="1173">
        <f>(ML25+1)^IF(ML24&lt;Control!$H$18,-1,1)</f>
        <v>1.002158868127109</v>
      </c>
      <c r="MM26" s="1173">
        <f>(MM25+1)^IF(MM24&lt;Control!$H$18,-1,1)</f>
        <v>1.002158868127109</v>
      </c>
      <c r="MN26" s="1173">
        <f>(MN25+1)^IF(MN24&lt;Control!$H$18,-1,1)</f>
        <v>1.002158868127109</v>
      </c>
      <c r="MO26" s="1173">
        <f>(MO25+1)^IF(MO24&lt;Control!$H$18,-1,1)</f>
        <v>1.002158868127109</v>
      </c>
      <c r="MP26" s="1173">
        <f>(MP25+1)^IF(MP24&lt;Control!$H$18,-1,1)</f>
        <v>1.002158868127109</v>
      </c>
      <c r="MQ26" s="1173">
        <f>(MQ25+1)^IF(MQ24&lt;Control!$H$18,-1,1)</f>
        <v>1.002158868127109</v>
      </c>
      <c r="MR26" s="1173">
        <f>(MR25+1)^IF(MR24&lt;Control!$H$18,-1,1)</f>
        <v>1.002158868127109</v>
      </c>
      <c r="MS26" s="1173">
        <f>(MS25+1)^IF(MS24&lt;Control!$H$18,-1,1)</f>
        <v>1.002158868127109</v>
      </c>
      <c r="MT26" s="1173">
        <f>(MT25+1)^IF(MT24&lt;Control!$H$18,-1,1)</f>
        <v>1.002158868127109</v>
      </c>
      <c r="MU26" s="1173">
        <f>(MU25+1)^IF(MU24&lt;Control!$H$18,-1,1)</f>
        <v>1.002158868127109</v>
      </c>
      <c r="MV26" s="1173">
        <f>(MV25+1)^IF(MV24&lt;Control!$H$18,-1,1)</f>
        <v>1.0021621629392152</v>
      </c>
      <c r="MW26" s="1173">
        <f>(MW25+1)^IF(MW24&lt;Control!$H$18,-1,1)</f>
        <v>1.0021621629392152</v>
      </c>
      <c r="MX26" s="1173">
        <f>(MX25+1)^IF(MX24&lt;Control!$H$18,-1,1)</f>
        <v>1.0021621629392152</v>
      </c>
      <c r="MY26" s="1173">
        <f>(MY25+1)^IF(MY24&lt;Control!$H$18,-1,1)</f>
        <v>1.0021621629392152</v>
      </c>
      <c r="MZ26" s="1173">
        <f>(MZ25+1)^IF(MZ24&lt;Control!$H$18,-1,1)</f>
        <v>1.0021621629392152</v>
      </c>
      <c r="NA26" s="1173">
        <f>(NA25+1)^IF(NA24&lt;Control!$H$18,-1,1)</f>
        <v>1.0021621629392152</v>
      </c>
      <c r="NB26" s="1173">
        <f>(NB25+1)^IF(NB24&lt;Control!$H$18,-1,1)</f>
        <v>1.0021621629392152</v>
      </c>
      <c r="NC26" s="1173">
        <f>(NC25+1)^IF(NC24&lt;Control!$H$18,-1,1)</f>
        <v>1.0021621629392152</v>
      </c>
    </row>
    <row r="27" spans="1:367" ht="15" customHeight="1" x14ac:dyDescent="0.35">
      <c r="A27">
        <f>MAX($A$11:A26)+1</f>
        <v>11</v>
      </c>
      <c r="D27" s="1119" t="s">
        <v>552</v>
      </c>
      <c r="E27" t="s">
        <v>506</v>
      </c>
      <c r="F27" t="str">
        <f>"["&amp;A27&amp;"]"</f>
        <v>[11]</v>
      </c>
      <c r="G27" s="82" t="s">
        <v>39</v>
      </c>
      <c r="H27" s="1173">
        <f>IF(H$24=Control!$H$18, 1, PRODUCT(H$26:INDEX($H$26:$NC$26, MATCH(Control!$H$18, $H$24:$NC$24, 0) + IF(H$24 &lt; Control!$H$18, -1, 0)))/ IF(H$24 &lt; Control!$H$18, 1, H$26))</f>
        <v>0.99055442960796958</v>
      </c>
      <c r="I27" s="1173">
        <f>IF(I$24=Control!$H$18, 1, PRODUCT(I$26:INDEX($H$26:$NC$26, MATCH(Control!$H$18, $H$24:$NC$24, 0) + IF(I$24 &lt; Control!$H$18, -1, 0)))/ IF(I$24 &lt; Control!$H$18, 1, I$26))</f>
        <v>0.99290742484864503</v>
      </c>
      <c r="J27" s="1173">
        <f>IF(J$24=Control!$H$18, 1, PRODUCT(J$26:INDEX($H$26:$NC$26, MATCH(Control!$H$18, $H$24:$NC$24, 0) + IF(J$24 &lt; Control!$H$18, -1, 0)))/ IF(J$24 &lt; Control!$H$18, 1, J$26))</f>
        <v>0.99526600947081956</v>
      </c>
      <c r="K27" s="1173">
        <f>IF(K$24=Control!$H$18, 1, PRODUCT(K$26:INDEX($H$26:$NC$26, MATCH(Control!$H$18, $H$24:$NC$24, 0) + IF(K$24 &lt; Control!$H$18, -1, 0)))/ IF(K$24 &lt; Control!$H$18, 1, K$26))</f>
        <v>0.99763019675169196</v>
      </c>
      <c r="L27" s="1173">
        <f>IF(L$24=Control!$H$18, 1, PRODUCT(L$26:INDEX($H$26:$NC$26, MATCH(Control!$H$18, $H$24:$NC$24, 0) + IF(L$24 &lt; Control!$H$18, -1, 0)))/ IF(L$24 &lt; Control!$H$18, 1, L$26))</f>
        <v>1</v>
      </c>
      <c r="M27" s="1173">
        <f>IF(M$24=Control!$H$18, 1, PRODUCT(M$26:INDEX($H$26:$NC$26, MATCH(Control!$H$18, $H$24:$NC$24, 0) + IF(M$24 &lt; Control!$H$18, -1, 0)))/ IF(M$24 &lt; Control!$H$18, 1, M$26))</f>
        <v>1.0022487961986244</v>
      </c>
      <c r="N27" s="1173">
        <f>IF(N$24=Control!$H$18, 1, PRODUCT(N$26:INDEX($H$26:$NC$26, MATCH(Control!$H$18, $H$24:$NC$24, 0) + IF(N$24 &lt; Control!$H$18, -1, 0)))/ IF(N$24 &lt; Control!$H$18, 1, N$26))</f>
        <v>1.0045026494815916</v>
      </c>
      <c r="O27" s="1173">
        <f>IF(O$24=Control!$H$18, 1, PRODUCT(O$26:INDEX($H$26:$NC$26, MATCH(Control!$H$18, $H$24:$NC$24, 0) + IF(O$24 &lt; Control!$H$18, -1, 0)))/ IF(O$24 &lt; Control!$H$18, 1, O$26))</f>
        <v>1.0067615712212539</v>
      </c>
      <c r="P27" s="1173">
        <f>IF(P$24=Control!$H$18, 1, PRODUCT(P$26:INDEX($H$26:$NC$26, MATCH(Control!$H$18, $H$24:$NC$24, 0) + IF(P$24 &lt; Control!$H$18, -1, 0)))/ IF(P$24 &lt; Control!$H$18, 1, P$26))</f>
        <v>1.0090255728155373</v>
      </c>
      <c r="Q27" s="1173">
        <f>IF(Q$24=Control!$H$18, 1, PRODUCT(Q$26:INDEX($H$26:$NC$26, MATCH(Control!$H$18, $H$24:$NC$24, 0) + IF(Q$24 &lt; Control!$H$18, -1, 0)))/ IF(Q$24 &lt; Control!$H$18, 1, Q$26))</f>
        <v>1.0112946656879997</v>
      </c>
      <c r="R27" s="1173">
        <f>IF(R$24=Control!$H$18, 1, PRODUCT(R$26:INDEX($H$26:$NC$26, MATCH(Control!$H$18, $H$24:$NC$24, 0) + IF(R$24 &lt; Control!$H$18, -1, 0)))/ IF(R$24 &lt; Control!$H$18, 1, R$26))</f>
        <v>1.0135688612878881</v>
      </c>
      <c r="S27" s="1173">
        <f>IF(S$24=Control!$H$18, 1, PRODUCT(S$26:INDEX($H$26:$NC$26, MATCH(Control!$H$18, $H$24:$NC$24, 0) + IF(S$24 &lt; Control!$H$18, -1, 0)))/ IF(S$24 &lt; Control!$H$18, 1, S$26))</f>
        <v>1.0158481710901963</v>
      </c>
      <c r="T27" s="1173">
        <f>IF(T$24=Control!$H$18, 1, PRODUCT(T$26:INDEX($H$26:$NC$26, MATCH(Control!$H$18, $H$24:$NC$24, 0) + IF(T$24 &lt; Control!$H$18, -1, 0)))/ IF(T$24 &lt; Control!$H$18, 1, T$26))</f>
        <v>1.0181326065957235</v>
      </c>
      <c r="U27" s="1173">
        <f>IF(U$24=Control!$H$18, 1, PRODUCT(U$26:INDEX($H$26:$NC$26, MATCH(Control!$H$18, $H$24:$NC$24, 0) + IF(U$24 &lt; Control!$H$18, -1, 0)))/ IF(U$24 &lt; Control!$H$18, 1, U$26))</f>
        <v>1.0204221793311314</v>
      </c>
      <c r="V27" s="1173">
        <f>IF(V$24=Control!$H$18, 1, PRODUCT(V$26:INDEX($H$26:$NC$26, MATCH(Control!$H$18, $H$24:$NC$24, 0) + IF(V$24 &lt; Control!$H$18, -1, 0)))/ IF(V$24 &lt; Control!$H$18, 1, V$26))</f>
        <v>1.0227169008490034</v>
      </c>
      <c r="W27" s="1173">
        <f>IF(W$24=Control!$H$18, 1, PRODUCT(W$26:INDEX($H$26:$NC$26, MATCH(Control!$H$18, $H$24:$NC$24, 0) + IF(W$24 &lt; Control!$H$18, -1, 0)))/ IF(W$24 &lt; Control!$H$18, 1, W$26))</f>
        <v>1.0250167827279015</v>
      </c>
      <c r="X27" s="1173">
        <f>IF(X$24=Control!$H$18, 1, PRODUCT(X$26:INDEX($H$26:$NC$26, MATCH(Control!$H$18, $H$24:$NC$24, 0) + IF(X$24 &lt; Control!$H$18, -1, 0)))/ IF(X$24 &lt; Control!$H$18, 1, X$26))</f>
        <v>1.0273218365724262</v>
      </c>
      <c r="Y27" s="1173">
        <f>IF(Y$24=Control!$H$18, 1, PRODUCT(Y$26:INDEX($H$26:$NC$26, MATCH(Control!$H$18, $H$24:$NC$24, 0) + IF(Y$24 &lt; Control!$H$18, -1, 0)))/ IF(Y$24 &lt; Control!$H$18, 1, Y$26))</f>
        <v>1.0294418495422093</v>
      </c>
      <c r="Z27" s="1173">
        <f>IF(Z$24=Control!$H$18, 1, PRODUCT(Z$26:INDEX($H$26:$NC$26, MATCH(Control!$H$18, $H$24:$NC$24, 0) + IF(Z$24 &lt; Control!$H$18, -1, 0)))/ IF(Z$24 &lt; Control!$H$18, 1, Z$26))</f>
        <v>1.031566237436025</v>
      </c>
      <c r="AA27" s="1173">
        <f>IF(AA$24=Control!$H$18, 1, PRODUCT(AA$26:INDEX($H$26:$NC$26, MATCH(Control!$H$18, $H$24:$NC$24, 0) + IF(AA$24 &lt; Control!$H$18, -1, 0)))/ IF(AA$24 &lt; Control!$H$18, 1, AA$26))</f>
        <v>1.0336950092821013</v>
      </c>
      <c r="AB27" s="1173">
        <f>IF(AB$24=Control!$H$18, 1, PRODUCT(AB$26:INDEX($H$26:$NC$26, MATCH(Control!$H$18, $H$24:$NC$24, 0) + IF(AB$24 &lt; Control!$H$18, -1, 0)))/ IF(AB$24 &lt; Control!$H$18, 1, AB$26))</f>
        <v>1.035828174127297</v>
      </c>
      <c r="AC27" s="1173">
        <f>IF(AC$24=Control!$H$18, 1, PRODUCT(AC$26:INDEX($H$26:$NC$26, MATCH(Control!$H$18, $H$24:$NC$24, 0) + IF(AC$24 &lt; Control!$H$18, -1, 0)))/ IF(AC$24 &lt; Control!$H$18, 1, AC$26))</f>
        <v>1.0379657410371401</v>
      </c>
      <c r="AD27" s="1173">
        <f>IF(AD$24=Control!$H$18, 1, PRODUCT(AD$26:INDEX($H$26:$NC$26, MATCH(Control!$H$18, $H$24:$NC$24, 0) + IF(AD$24 &lt; Control!$H$18, -1, 0)))/ IF(AD$24 &lt; Control!$H$18, 1, AD$26))</f>
        <v>1.0401077190958672</v>
      </c>
      <c r="AE27" s="1173">
        <f>IF(AE$24=Control!$H$18, 1, PRODUCT(AE$26:INDEX($H$26:$NC$26, MATCH(Control!$H$18, $H$24:$NC$24, 0) + IF(AE$24 &lt; Control!$H$18, -1, 0)))/ IF(AE$24 &lt; Control!$H$18, 1, AE$26))</f>
        <v>1.0422541174064606</v>
      </c>
      <c r="AF27" s="1173">
        <f>IF(AF$24=Control!$H$18, 1, PRODUCT(AF$26:INDEX($H$26:$NC$26, MATCH(Control!$H$18, $H$24:$NC$24, 0) + IF(AF$24 &lt; Control!$H$18, -1, 0)))/ IF(AF$24 &lt; Control!$H$18, 1, AF$26))</f>
        <v>1.0444049450906883</v>
      </c>
      <c r="AG27" s="1173">
        <f>IF(AG$24=Control!$H$18, 1, PRODUCT(AG$26:INDEX($H$26:$NC$26, MATCH(Control!$H$18, $H$24:$NC$24, 0) + IF(AG$24 &lt; Control!$H$18, -1, 0)))/ IF(AG$24 &lt; Control!$H$18, 1, AG$26))</f>
        <v>1.0465602112891419</v>
      </c>
      <c r="AH27" s="1173">
        <f>IF(AH$24=Control!$H$18, 1, PRODUCT(AH$26:INDEX($H$26:$NC$26, MATCH(Control!$H$18, $H$24:$NC$24, 0) + IF(AH$24 &lt; Control!$H$18, -1, 0)))/ IF(AH$24 &lt; Control!$H$18, 1, AH$26))</f>
        <v>1.0487199251612762</v>
      </c>
      <c r="AI27" s="1173">
        <f>IF(AI$24=Control!$H$18, 1, PRODUCT(AI$26:INDEX($H$26:$NC$26, MATCH(Control!$H$18, $H$24:$NC$24, 0) + IF(AI$24 &lt; Control!$H$18, -1, 0)))/ IF(AI$24 &lt; Control!$H$18, 1, AI$26))</f>
        <v>1.0508840958854475</v>
      </c>
      <c r="AJ27" s="1173">
        <f>IF(AJ$24=Control!$H$18, 1, PRODUCT(AJ$26:INDEX($H$26:$NC$26, MATCH(Control!$H$18, $H$24:$NC$24, 0) + IF(AJ$24 &lt; Control!$H$18, -1, 0)))/ IF(AJ$24 &lt; Control!$H$18, 1, AJ$26))</f>
        <v>1.0530527326589527</v>
      </c>
      <c r="AK27" s="1173">
        <f>IF(AK$24=Control!$H$18, 1, PRODUCT(AK$26:INDEX($H$26:$NC$26, MATCH(Control!$H$18, $H$24:$NC$24, 0) + IF(AK$24 &lt; Control!$H$18, -1, 0)))/ IF(AK$24 &lt; Control!$H$18, 1, AK$26))</f>
        <v>1.0551587468721519</v>
      </c>
      <c r="AL27" s="1173">
        <f>IF(AL$24=Control!$H$18, 1, PRODUCT(AL$26:INDEX($H$26:$NC$26, MATCH(Control!$H$18, $H$24:$NC$24, 0) + IF(AL$24 &lt; Control!$H$18, -1, 0)))/ IF(AL$24 &lt; Control!$H$18, 1, AL$26))</f>
        <v>1.0572689729312814</v>
      </c>
      <c r="AM27" s="1173">
        <f>IF(AM$24=Control!$H$18, 1, PRODUCT(AM$26:INDEX($H$26:$NC$26, MATCH(Control!$H$18, $H$24:$NC$24, 0) + IF(AM$24 &lt; Control!$H$18, -1, 0)))/ IF(AM$24 &lt; Control!$H$18, 1, AM$26))</f>
        <v>1.0593834192596678</v>
      </c>
      <c r="AN27" s="1173">
        <f>IF(AN$24=Control!$H$18, 1, PRODUCT(AN$26:INDEX($H$26:$NC$26, MATCH(Control!$H$18, $H$24:$NC$24, 0) + IF(AN$24 &lt; Control!$H$18, -1, 0)))/ IF(AN$24 &lt; Control!$H$18, 1, AN$26))</f>
        <v>1.061502094297484</v>
      </c>
      <c r="AO27" s="1173">
        <f>IF(AO$24=Control!$H$18, 1, PRODUCT(AO$26:INDEX($H$26:$NC$26, MATCH(Control!$H$18, $H$24:$NC$24, 0) + IF(AO$24 &lt; Control!$H$18, -1, 0)))/ IF(AO$24 &lt; Control!$H$18, 1, AO$26))</f>
        <v>1.0636250065017823</v>
      </c>
      <c r="AP27" s="1173">
        <f>IF(AP$24=Control!$H$18, 1, PRODUCT(AP$26:INDEX($H$26:$NC$26, MATCH(Control!$H$18, $H$24:$NC$24, 0) + IF(AP$24 &lt; Control!$H$18, -1, 0)))/ IF(AP$24 &lt; Control!$H$18, 1, AP$26))</f>
        <v>1.0657521643465284</v>
      </c>
      <c r="AQ27" s="1173">
        <f>IF(AQ$24=Control!$H$18, 1, PRODUCT(AQ$26:INDEX($H$26:$NC$26, MATCH(Control!$H$18, $H$24:$NC$24, 0) + IF(AQ$24 &lt; Control!$H$18, -1, 0)))/ IF(AQ$24 &lt; Control!$H$18, 1, AQ$26))</f>
        <v>1.0678835763226355</v>
      </c>
      <c r="AR27" s="1173">
        <f>IF(AR$24=Control!$H$18, 1, PRODUCT(AR$26:INDEX($H$26:$NC$26, MATCH(Control!$H$18, $H$24:$NC$24, 0) + IF(AR$24 &lt; Control!$H$18, -1, 0)))/ IF(AR$24 &lt; Control!$H$18, 1, AR$26))</f>
        <v>1.0700192509379978</v>
      </c>
      <c r="AS27" s="1173">
        <f>IF(AS$24=Control!$H$18, 1, PRODUCT(AS$26:INDEX($H$26:$NC$26, MATCH(Control!$H$18, $H$24:$NC$24, 0) + IF(AS$24 &lt; Control!$H$18, -1, 0)))/ IF(AS$24 &lt; Control!$H$18, 1, AS$26))</f>
        <v>1.0721591967175241</v>
      </c>
      <c r="AT27" s="1173">
        <f>IF(AT$24=Control!$H$18, 1, PRODUCT(AT$26:INDEX($H$26:$NC$26, MATCH(Control!$H$18, $H$24:$NC$24, 0) + IF(AT$24 &lt; Control!$H$18, -1, 0)))/ IF(AT$24 &lt; Control!$H$18, 1, AT$26))</f>
        <v>1.0743034222031729</v>
      </c>
      <c r="AU27" s="1173">
        <f>IF(AU$24=Control!$H$18, 1, PRODUCT(AU$26:INDEX($H$26:$NC$26, MATCH(Control!$H$18, $H$24:$NC$24, 0) + IF(AU$24 &lt; Control!$H$18, -1, 0)))/ IF(AU$24 &lt; Control!$H$18, 1, AU$26))</f>
        <v>1.0764519359539855</v>
      </c>
      <c r="AV27" s="1173">
        <f>IF(AV$24=Control!$H$18, 1, PRODUCT(AV$26:INDEX($H$26:$NC$26, MATCH(Control!$H$18, $H$24:$NC$24, 0) + IF(AV$24 &lt; Control!$H$18, -1, 0)))/ IF(AV$24 &lt; Control!$H$18, 1, AV$26))</f>
        <v>1.0786047465461206</v>
      </c>
      <c r="AW27" s="1173">
        <f>IF(AW$24=Control!$H$18, 1, PRODUCT(AW$26:INDEX($H$26:$NC$26, MATCH(Control!$H$18, $H$24:$NC$24, 0) + IF(AW$24 &lt; Control!$H$18, -1, 0)))/ IF(AW$24 &lt; Control!$H$18, 1, AW$26))</f>
        <v>1.0807411609184547</v>
      </c>
      <c r="AX27" s="1173">
        <f>IF(AX$24=Control!$H$18, 1, PRODUCT(AX$26:INDEX($H$26:$NC$26, MATCH(Control!$H$18, $H$24:$NC$24, 0) + IF(AX$24 &lt; Control!$H$18, -1, 0)))/ IF(AX$24 &lt; Control!$H$18, 1, AX$26))</f>
        <v>1.0828818069302146</v>
      </c>
      <c r="AY27" s="1173">
        <f>IF(AY$24=Control!$H$18, 1, PRODUCT(AY$26:INDEX($H$26:$NC$26, MATCH(Control!$H$18, $H$24:$NC$24, 0) + IF(AY$24 &lt; Control!$H$18, -1, 0)))/ IF(AY$24 &lt; Control!$H$18, 1, AY$26))</f>
        <v>1.0850266929630947</v>
      </c>
      <c r="AZ27" s="1173">
        <f>IF(AZ$24=Control!$H$18, 1, PRODUCT(AZ$26:INDEX($H$26:$NC$26, MATCH(Control!$H$18, $H$24:$NC$24, 0) + IF(AZ$24 &lt; Control!$H$18, -1, 0)))/ IF(AZ$24 &lt; Control!$H$18, 1, AZ$26))</f>
        <v>1.0871758274153911</v>
      </c>
      <c r="BA27" s="1173">
        <f>IF(BA$24=Control!$H$18, 1, PRODUCT(BA$26:INDEX($H$26:$NC$26, MATCH(Control!$H$18, $H$24:$NC$24, 0) + IF(BA$24 &lt; Control!$H$18, -1, 0)))/ IF(BA$24 &lt; Control!$H$18, 1, BA$26))</f>
        <v>1.0893292187020345</v>
      </c>
      <c r="BB27" s="1173">
        <f>IF(BB$24=Control!$H$18, 1, PRODUCT(BB$26:INDEX($H$26:$NC$26, MATCH(Control!$H$18, $H$24:$NC$24, 0) + IF(BB$24 &lt; Control!$H$18, -1, 0)))/ IF(BB$24 &lt; Control!$H$18, 1, BB$26))</f>
        <v>1.0914868752546232</v>
      </c>
      <c r="BC27" s="1173">
        <f>IF(BC$24=Control!$H$18, 1, PRODUCT(BC$26:INDEX($H$26:$NC$26, MATCH(Control!$H$18, $H$24:$NC$24, 0) + IF(BC$24 &lt; Control!$H$18, -1, 0)))/ IF(BC$24 &lt; Control!$H$18, 1, BC$26))</f>
        <v>1.0936488055214564</v>
      </c>
      <c r="BD27" s="1173">
        <f>IF(BD$24=Control!$H$18, 1, PRODUCT(BD$26:INDEX($H$26:$NC$26, MATCH(Control!$H$18, $H$24:$NC$24, 0) + IF(BD$24 &lt; Control!$H$18, -1, 0)))/ IF(BD$24 &lt; Control!$H$18, 1, BD$26))</f>
        <v>1.095815017967567</v>
      </c>
      <c r="BE27" s="1173">
        <f>IF(BE$24=Control!$H$18, 1, PRODUCT(BE$26:INDEX($H$26:$NC$26, MATCH(Control!$H$18, $H$24:$NC$24, 0) + IF(BE$24 &lt; Control!$H$18, -1, 0)))/ IF(BE$24 &lt; Control!$H$18, 1, BE$26))</f>
        <v>1.0979855210747544</v>
      </c>
      <c r="BF27" s="1173">
        <f>IF(BF$24=Control!$H$18, 1, PRODUCT(BF$26:INDEX($H$26:$NC$26, MATCH(Control!$H$18, $H$24:$NC$24, 0) + IF(BF$24 &lt; Control!$H$18, -1, 0)))/ IF(BF$24 &lt; Control!$H$18, 1, BF$26))</f>
        <v>1.1001603233416186</v>
      </c>
      <c r="BG27" s="1173">
        <f>IF(BG$24=Control!$H$18, 1, PRODUCT(BG$26:INDEX($H$26:$NC$26, MATCH(Control!$H$18, $H$24:$NC$24, 0) + IF(BG$24 &lt; Control!$H$18, -1, 0)))/ IF(BG$24 &lt; Control!$H$18, 1, BG$26))</f>
        <v>1.1023394332835925</v>
      </c>
      <c r="BH27" s="1173">
        <f>IF(BH$24=Control!$H$18, 1, PRODUCT(BH$26:INDEX($H$26:$NC$26, MATCH(Control!$H$18, $H$24:$NC$24, 0) + IF(BH$24 &lt; Control!$H$18, -1, 0)))/ IF(BH$24 &lt; Control!$H$18, 1, BH$26))</f>
        <v>1.1045228594329759</v>
      </c>
      <c r="BI27" s="1173">
        <f>IF(BI$24=Control!$H$18, 1, PRODUCT(BI$26:INDEX($H$26:$NC$26, MATCH(Control!$H$18, $H$24:$NC$24, 0) + IF(BI$24 &lt; Control!$H$18, -1, 0)))/ IF(BI$24 &lt; Control!$H$18, 1, BI$26))</f>
        <v>1.1067084817107615</v>
      </c>
      <c r="BJ27" s="1173">
        <f>IF(BJ$24=Control!$H$18, 1, PRODUCT(BJ$26:INDEX($H$26:$NC$26, MATCH(Control!$H$18, $H$24:$NC$24, 0) + IF(BJ$24 &lt; Control!$H$18, -1, 0)))/ IF(BJ$24 &lt; Control!$H$18, 1, BJ$26))</f>
        <v>1.1088984288829578</v>
      </c>
      <c r="BK27" s="1173">
        <f>IF(BK$24=Control!$H$18, 1, PRODUCT(BK$26:INDEX($H$26:$NC$26, MATCH(Control!$H$18, $H$24:$NC$24, 0) + IF(BK$24 &lt; Control!$H$18, -1, 0)))/ IF(BK$24 &lt; Control!$H$18, 1, BK$26))</f>
        <v>1.1110927095076359</v>
      </c>
      <c r="BL27" s="1173">
        <f>IF(BL$24=Control!$H$18, 1, PRODUCT(BL$26:INDEX($H$26:$NC$26, MATCH(Control!$H$18, $H$24:$NC$24, 0) + IF(BL$24 &lt; Control!$H$18, -1, 0)))/ IF(BL$24 &lt; Control!$H$18, 1, BL$26))</f>
        <v>1.1132913321598024</v>
      </c>
      <c r="BM27" s="1173">
        <f>IF(BM$24=Control!$H$18, 1, PRODUCT(BM$26:INDEX($H$26:$NC$26, MATCH(Control!$H$18, $H$24:$NC$24, 0) + IF(BM$24 &lt; Control!$H$18, -1, 0)))/ IF(BM$24 &lt; Control!$H$18, 1, BM$26))</f>
        <v>1.1154943054314312</v>
      </c>
      <c r="BN27" s="1173">
        <f>IF(BN$24=Control!$H$18, 1, PRODUCT(BN$26:INDEX($H$26:$NC$26, MATCH(Control!$H$18, $H$24:$NC$24, 0) + IF(BN$24 &lt; Control!$H$18, -1, 0)))/ IF(BN$24 &lt; Control!$H$18, 1, BN$26))</f>
        <v>1.1177016379314988</v>
      </c>
      <c r="BO27" s="1173">
        <f>IF(BO$24=Control!$H$18, 1, PRODUCT(BO$26:INDEX($H$26:$NC$26, MATCH(Control!$H$18, $H$24:$NC$24, 0) + IF(BO$24 &lt; Control!$H$18, -1, 0)))/ IF(BO$24 &lt; Control!$H$18, 1, BO$26))</f>
        <v>1.1199133382860162</v>
      </c>
      <c r="BP27" s="1173">
        <f>IF(BP$24=Control!$H$18, 1, PRODUCT(BP$26:INDEX($H$26:$NC$26, MATCH(Control!$H$18, $H$24:$NC$24, 0) + IF(BP$24 &lt; Control!$H$18, -1, 0)))/ IF(BP$24 &lt; Control!$H$18, 1, BP$26))</f>
        <v>1.1221294151380641</v>
      </c>
      <c r="BQ27" s="1173">
        <f>IF(BQ$24=Control!$H$18, 1, PRODUCT(BQ$26:INDEX($H$26:$NC$26, MATCH(Control!$H$18, $H$24:$NC$24, 0) + IF(BQ$24 &lt; Control!$H$18, -1, 0)))/ IF(BQ$24 &lt; Control!$H$18, 1, BQ$26))</f>
        <v>1.1243498771478257</v>
      </c>
      <c r="BR27" s="1173">
        <f>IF(BR$24=Control!$H$18, 1, PRODUCT(BR$26:INDEX($H$26:$NC$26, MATCH(Control!$H$18, $H$24:$NC$24, 0) + IF(BR$24 &lt; Control!$H$18, -1, 0)))/ IF(BR$24 &lt; Control!$H$18, 1, BR$26))</f>
        <v>1.1265747329926212</v>
      </c>
      <c r="BS27" s="1173">
        <f>IF(BS$24=Control!$H$18, 1, PRODUCT(BS$26:INDEX($H$26:$NC$26, MATCH(Control!$H$18, $H$24:$NC$24, 0) + IF(BS$24 &lt; Control!$H$18, -1, 0)))/ IF(BS$24 &lt; Control!$H$18, 1, BS$26))</f>
        <v>1.1288039913669414</v>
      </c>
      <c r="BT27" s="1173">
        <f>IF(BT$24=Control!$H$18, 1, PRODUCT(BT$26:INDEX($H$26:$NC$26, MATCH(Control!$H$18, $H$24:$NC$24, 0) + IF(BT$24 &lt; Control!$H$18, -1, 0)))/ IF(BT$24 &lt; Control!$H$18, 1, BT$26))</f>
        <v>1.1310376609824815</v>
      </c>
      <c r="BU27" s="1173">
        <f>IF(BU$24=Control!$H$18, 1, PRODUCT(BU$26:INDEX($H$26:$NC$26, MATCH(Control!$H$18, $H$24:$NC$24, 0) + IF(BU$24 &lt; Control!$H$18, -1, 0)))/ IF(BU$24 &lt; Control!$H$18, 1, BU$26))</f>
        <v>1.133282852062873</v>
      </c>
      <c r="BV27" s="1173">
        <f>IF(BV$24=Control!$H$18, 1, PRODUCT(BV$26:INDEX($H$26:$NC$26, MATCH(Control!$H$18, $H$24:$NC$24, 0) + IF(BV$24 &lt; Control!$H$18, -1, 0)))/ IF(BV$24 &lt; Control!$H$18, 1, BV$26))</f>
        <v>1.1355325000089918</v>
      </c>
      <c r="BW27" s="1173">
        <f>IF(BW$24=Control!$H$18, 1, PRODUCT(BW$26:INDEX($H$26:$NC$26, MATCH(Control!$H$18, $H$24:$NC$24, 0) + IF(BW$24 &lt; Control!$H$18, -1, 0)))/ IF(BW$24 &lt; Control!$H$18, 1, BW$26))</f>
        <v>1.1377866136680368</v>
      </c>
      <c r="BX27" s="1173">
        <f>IF(BX$24=Control!$H$18, 1, PRODUCT(BX$26:INDEX($H$26:$NC$26, MATCH(Control!$H$18, $H$24:$NC$24, 0) + IF(BX$24 &lt; Control!$H$18, -1, 0)))/ IF(BX$24 &lt; Control!$H$18, 1, BX$26))</f>
        <v>1.1400452019047691</v>
      </c>
      <c r="BY27" s="1173">
        <f>IF(BY$24=Control!$H$18, 1, PRODUCT(BY$26:INDEX($H$26:$NC$26, MATCH(Control!$H$18, $H$24:$NC$24, 0) + IF(BY$24 &lt; Control!$H$18, -1, 0)))/ IF(BY$24 &lt; Control!$H$18, 1, BY$26))</f>
        <v>1.1423082736015473</v>
      </c>
      <c r="BZ27" s="1173">
        <f>IF(BZ$24=Control!$H$18, 1, PRODUCT(BZ$26:INDEX($H$26:$NC$26, MATCH(Control!$H$18, $H$24:$NC$24, 0) + IF(BZ$24 &lt; Control!$H$18, -1, 0)))/ IF(BZ$24 &lt; Control!$H$18, 1, BZ$26))</f>
        <v>1.1445758376583619</v>
      </c>
      <c r="CA27" s="1173">
        <f>IF(CA$24=Control!$H$18, 1, PRODUCT(CA$26:INDEX($H$26:$NC$26, MATCH(Control!$H$18, $H$24:$NC$24, 0) + IF(CA$24 &lt; Control!$H$18, -1, 0)))/ IF(CA$24 &lt; Control!$H$18, 1, CA$26))</f>
        <v>1.1468479029928706</v>
      </c>
      <c r="CB27" s="1173">
        <f>IF(CB$24=Control!$H$18, 1, PRODUCT(CB$26:INDEX($H$26:$NC$26, MATCH(Control!$H$18, $H$24:$NC$24, 0) + IF(CB$24 &lt; Control!$H$18, -1, 0)))/ IF(CB$24 &lt; Control!$H$18, 1, CB$26))</f>
        <v>1.1491244785404333</v>
      </c>
      <c r="CC27" s="1173">
        <f>IF(CC$24=Control!$H$18, 1, PRODUCT(CC$26:INDEX($H$26:$NC$26, MATCH(Control!$H$18, $H$24:$NC$24, 0) + IF(CC$24 &lt; Control!$H$18, -1, 0)))/ IF(CC$24 &lt; Control!$H$18, 1, CC$26))</f>
        <v>1.1514055732541473</v>
      </c>
      <c r="CD27" s="1173">
        <f>IF(CD$24=Control!$H$18, 1, PRODUCT(CD$26:INDEX($H$26:$NC$26, MATCH(Control!$H$18, $H$24:$NC$24, 0) + IF(CD$24 &lt; Control!$H$18, -1, 0)))/ IF(CD$24 &lt; Control!$H$18, 1, CD$26))</f>
        <v>1.1536911961048821</v>
      </c>
      <c r="CE27" s="1173">
        <f>IF(CE$24=Control!$H$18, 1, PRODUCT(CE$26:INDEX($H$26:$NC$26, MATCH(Control!$H$18, $H$24:$NC$24, 0) + IF(CE$24 &lt; Control!$H$18, -1, 0)))/ IF(CE$24 &lt; Control!$H$18, 1, CE$26))</f>
        <v>1.1559813560813155</v>
      </c>
      <c r="CF27" s="1173">
        <f>IF(CF$24=Control!$H$18, 1, PRODUCT(CF$26:INDEX($H$26:$NC$26, MATCH(Control!$H$18, $H$24:$NC$24, 0) + IF(CF$24 &lt; Control!$H$18, -1, 0)))/ IF(CF$24 &lt; Control!$H$18, 1, CF$26))</f>
        <v>1.1582760621899681</v>
      </c>
      <c r="CG27" s="1173">
        <f>IF(CG$24=Control!$H$18, 1, PRODUCT(CG$26:INDEX($H$26:$NC$26, MATCH(Control!$H$18, $H$24:$NC$24, 0) + IF(CG$24 &lt; Control!$H$18, -1, 0)))/ IF(CG$24 &lt; Control!$H$18, 1, CG$26))</f>
        <v>1.1605869393547292</v>
      </c>
      <c r="CH27" s="1173">
        <f>IF(CH$24=Control!$H$18, 1, PRODUCT(CH$26:INDEX($H$26:$NC$26, MATCH(Control!$H$18, $H$24:$NC$24, 0) + IF(CH$24 &lt; Control!$H$18, -1, 0)))/ IF(CH$24 &lt; Control!$H$18, 1, CH$26))</f>
        <v>1.1629024269517052</v>
      </c>
      <c r="CI27" s="1173">
        <f>IF(CI$24=Control!$H$18, 1, PRODUCT(CI$26:INDEX($H$26:$NC$26, MATCH(Control!$H$18, $H$24:$NC$24, 0) + IF(CI$24 &lt; Control!$H$18, -1, 0)))/ IF(CI$24 &lt; Control!$H$18, 1, CI$26))</f>
        <v>1.1652225341791713</v>
      </c>
      <c r="CJ27" s="1173">
        <f>IF(CJ$24=Control!$H$18, 1, PRODUCT(CJ$26:INDEX($H$26:$NC$26, MATCH(Control!$H$18, $H$24:$NC$24, 0) + IF(CJ$24 &lt; Control!$H$18, -1, 0)))/ IF(CJ$24 &lt; Control!$H$18, 1, CJ$26))</f>
        <v>1.167547270253755</v>
      </c>
      <c r="CK27" s="1173">
        <f>IF(CK$24=Control!$H$18, 1, PRODUCT(CK$26:INDEX($H$26:$NC$26, MATCH(Control!$H$18, $H$24:$NC$24, 0) + IF(CK$24 &lt; Control!$H$18, -1, 0)))/ IF(CK$24 &lt; Control!$H$18, 1, CK$26))</f>
        <v>1.1698766444104716</v>
      </c>
      <c r="CL27" s="1173">
        <f>IF(CL$24=Control!$H$18, 1, PRODUCT(CL$26:INDEX($H$26:$NC$26, MATCH(Control!$H$18, $H$24:$NC$24, 0) + IF(CL$24 &lt; Control!$H$18, -1, 0)))/ IF(CL$24 &lt; Control!$H$18, 1, CL$26))</f>
        <v>1.1722106659027609</v>
      </c>
      <c r="CM27" s="1173">
        <f>IF(CM$24=Control!$H$18, 1, PRODUCT(CM$26:INDEX($H$26:$NC$26, MATCH(Control!$H$18, $H$24:$NC$24, 0) + IF(CM$24 &lt; Control!$H$18, -1, 0)))/ IF(CM$24 &lt; Control!$H$18, 1, CM$26))</f>
        <v>1.1745493440025245</v>
      </c>
      <c r="CN27" s="1173">
        <f>IF(CN$24=Control!$H$18, 1, PRODUCT(CN$26:INDEX($H$26:$NC$26, MATCH(Control!$H$18, $H$24:$NC$24, 0) + IF(CN$24 &lt; Control!$H$18, -1, 0)))/ IF(CN$24 &lt; Control!$H$18, 1, CN$26))</f>
        <v>1.1768926880001624</v>
      </c>
      <c r="CO27" s="1173">
        <f>IF(CO$24=Control!$H$18, 1, PRODUCT(CO$26:INDEX($H$26:$NC$26, MATCH(Control!$H$18, $H$24:$NC$24, 0) + IF(CO$24 &lt; Control!$H$18, -1, 0)))/ IF(CO$24 &lt; Control!$H$18, 1, CO$26))</f>
        <v>1.1792407072046101</v>
      </c>
      <c r="CP27" s="1173">
        <f>IF(CP$24=Control!$H$18, 1, PRODUCT(CP$26:INDEX($H$26:$NC$26, MATCH(Control!$H$18, $H$24:$NC$24, 0) + IF(CP$24 &lt; Control!$H$18, -1, 0)))/ IF(CP$24 &lt; Control!$H$18, 1, CP$26))</f>
        <v>1.1815934109433748</v>
      </c>
      <c r="CQ27" s="1173">
        <f>IF(CQ$24=Control!$H$18, 1, PRODUCT(CQ$26:INDEX($H$26:$NC$26, MATCH(Control!$H$18, $H$24:$NC$24, 0) + IF(CQ$24 &lt; Control!$H$18, -1, 0)))/ IF(CQ$24 &lt; Control!$H$18, 1, CQ$26))</f>
        <v>1.1839508085625734</v>
      </c>
      <c r="CR27" s="1173">
        <f>IF(CR$24=Control!$H$18, 1, PRODUCT(CR$26:INDEX($H$26:$NC$26, MATCH(Control!$H$18, $H$24:$NC$24, 0) + IF(CR$24 &lt; Control!$H$18, -1, 0)))/ IF(CR$24 &lt; Control!$H$18, 1, CR$26))</f>
        <v>1.1863129094269691</v>
      </c>
      <c r="CS27" s="1173">
        <f>IF(CS$24=Control!$H$18, 1, PRODUCT(CS$26:INDEX($H$26:$NC$26, MATCH(Control!$H$18, $H$24:$NC$24, 0) + IF(CS$24 &lt; Control!$H$18, -1, 0)))/ IF(CS$24 &lt; Control!$H$18, 1, CS$26))</f>
        <v>1.1886933937213429</v>
      </c>
      <c r="CT27" s="1173">
        <f>IF(CT$24=Control!$H$18, 1, PRODUCT(CT$26:INDEX($H$26:$NC$26, MATCH(Control!$H$18, $H$24:$NC$24, 0) + IF(CT$24 &lt; Control!$H$18, -1, 0)))/ IF(CT$24 &lt; Control!$H$18, 1, CT$26))</f>
        <v>1.1910786547533132</v>
      </c>
      <c r="CU27" s="1173">
        <f>IF(CU$24=Control!$H$18, 1, PRODUCT(CU$26:INDEX($H$26:$NC$26, MATCH(Control!$H$18, $H$24:$NC$24, 0) + IF(CU$24 &lt; Control!$H$18, -1, 0)))/ IF(CU$24 &lt; Control!$H$18, 1, CU$26))</f>
        <v>1.1934687021079979</v>
      </c>
      <c r="CV27" s="1173">
        <f>IF(CV$24=Control!$H$18, 1, PRODUCT(CV$26:INDEX($H$26:$NC$26, MATCH(Control!$H$18, $H$24:$NC$24, 0) + IF(CV$24 &lt; Control!$H$18, -1, 0)))/ IF(CV$24 &lt; Control!$H$18, 1, CV$26))</f>
        <v>1.1958635453897482</v>
      </c>
      <c r="CW27" s="1173">
        <f>IF(CW$24=Control!$H$18, 1, PRODUCT(CW$26:INDEX($H$26:$NC$26, MATCH(Control!$H$18, $H$24:$NC$24, 0) + IF(CW$24 &lt; Control!$H$18, -1, 0)))/ IF(CW$24 &lt; Control!$H$18, 1, CW$26))</f>
        <v>1.1982631942221877</v>
      </c>
      <c r="CX27" s="1173">
        <f>IF(CX$24=Control!$H$18, 1, PRODUCT(CX$26:INDEX($H$26:$NC$26, MATCH(Control!$H$18, $H$24:$NC$24, 0) + IF(CX$24 &lt; Control!$H$18, -1, 0)))/ IF(CX$24 &lt; Control!$H$18, 1, CX$26))</f>
        <v>1.2006676582482514</v>
      </c>
      <c r="CY27" s="1173">
        <f>IF(CY$24=Control!$H$18, 1, PRODUCT(CY$26:INDEX($H$26:$NC$26, MATCH(Control!$H$18, $H$24:$NC$24, 0) + IF(CY$24 &lt; Control!$H$18, -1, 0)))/ IF(CY$24 &lt; Control!$H$18, 1, CY$26))</f>
        <v>1.2030769471302236</v>
      </c>
      <c r="CZ27" s="1173">
        <f>IF(CZ$24=Control!$H$18, 1, PRODUCT(CZ$26:INDEX($H$26:$NC$26, MATCH(Control!$H$18, $H$24:$NC$24, 0) + IF(CZ$24 &lt; Control!$H$18, -1, 0)))/ IF(CZ$24 &lt; Control!$H$18, 1, CZ$26))</f>
        <v>1.2054910705497774</v>
      </c>
      <c r="DA27" s="1173">
        <f>IF(DA$24=Control!$H$18, 1, PRODUCT(DA$26:INDEX($H$26:$NC$26, MATCH(Control!$H$18, $H$24:$NC$24, 0) + IF(DA$24 &lt; Control!$H$18, -1, 0)))/ IF(DA$24 &lt; Control!$H$18, 1, DA$26))</f>
        <v>1.2079100382080135</v>
      </c>
      <c r="DB27" s="1173">
        <f>IF(DB$24=Control!$H$18, 1, PRODUCT(DB$26:INDEX($H$26:$NC$26, MATCH(Control!$H$18, $H$24:$NC$24, 0) + IF(DB$24 &lt; Control!$H$18, -1, 0)))/ IF(DB$24 &lt; Control!$H$18, 1, DB$26))</f>
        <v>1.2103338598254985</v>
      </c>
      <c r="DC27" s="1173">
        <f>IF(DC$24=Control!$H$18, 1, PRODUCT(DC$26:INDEX($H$26:$NC$26, MATCH(Control!$H$18, $H$24:$NC$24, 0) + IF(DC$24 &lt; Control!$H$18, -1, 0)))/ IF(DC$24 &lt; Control!$H$18, 1, DC$26))</f>
        <v>1.2127625451423052</v>
      </c>
      <c r="DD27" s="1173">
        <f>IF(DD$24=Control!$H$18, 1, PRODUCT(DD$26:INDEX($H$26:$NC$26, MATCH(Control!$H$18, $H$24:$NC$24, 0) + IF(DD$24 &lt; Control!$H$18, -1, 0)))/ IF(DD$24 &lt; Control!$H$18, 1, DD$26))</f>
        <v>1.2151961039180506</v>
      </c>
      <c r="DE27" s="1173">
        <f>IF(DE$24=Control!$H$18, 1, PRODUCT(DE$26:INDEX($H$26:$NC$26, MATCH(Control!$H$18, $H$24:$NC$24, 0) + IF(DE$24 &lt; Control!$H$18, -1, 0)))/ IF(DE$24 &lt; Control!$H$18, 1, DE$26))</f>
        <v>1.2176489798869667</v>
      </c>
      <c r="DF27" s="1173">
        <f>IF(DF$24=Control!$H$18, 1, PRODUCT(DF$26:INDEX($H$26:$NC$26, MATCH(Control!$H$18, $H$24:$NC$24, 0) + IF(DF$24 &lt; Control!$H$18, -1, 0)))/ IF(DF$24 &lt; Control!$H$18, 1, DF$26))</f>
        <v>1.2201068069913412</v>
      </c>
      <c r="DG27" s="1173">
        <f>IF(DG$24=Control!$H$18, 1, PRODUCT(DG$26:INDEX($H$26:$NC$26, MATCH(Control!$H$18, $H$24:$NC$24, 0) + IF(DG$24 &lt; Control!$H$18, -1, 0)))/ IF(DG$24 &lt; Control!$H$18, 1, DG$26))</f>
        <v>1.2225695952250517</v>
      </c>
      <c r="DH27" s="1173">
        <f>IF(DH$24=Control!$H$18, 1, PRODUCT(DH$26:INDEX($H$26:$NC$26, MATCH(Control!$H$18, $H$24:$NC$24, 0) + IF(DH$24 &lt; Control!$H$18, -1, 0)))/ IF(DH$24 &lt; Control!$H$18, 1, DH$26))</f>
        <v>1.2250373546021485</v>
      </c>
      <c r="DI27" s="1173">
        <f>IF(DI$24=Control!$H$18, 1, PRODUCT(DI$26:INDEX($H$26:$NC$26, MATCH(Control!$H$18, $H$24:$NC$24, 0) + IF(DI$24 &lt; Control!$H$18, -1, 0)))/ IF(DI$24 &lt; Control!$H$18, 1, DI$26))</f>
        <v>1.2275100951568951</v>
      </c>
      <c r="DJ27" s="1173">
        <f>IF(DJ$24=Control!$H$18, 1, PRODUCT(DJ$26:INDEX($H$26:$NC$26, MATCH(Control!$H$18, $H$24:$NC$24, 0) + IF(DJ$24 &lt; Control!$H$18, -1, 0)))/ IF(DJ$24 &lt; Control!$H$18, 1, DJ$26))</f>
        <v>1.2299878269438096</v>
      </c>
      <c r="DK27" s="1173">
        <f>IF(DK$24=Control!$H$18, 1, PRODUCT(DK$26:INDEX($H$26:$NC$26, MATCH(Control!$H$18, $H$24:$NC$24, 0) + IF(DK$24 &lt; Control!$H$18, -1, 0)))/ IF(DK$24 &lt; Control!$H$18, 1, DK$26))</f>
        <v>1.2324705600377048</v>
      </c>
      <c r="DL27" s="1173">
        <f>IF(DL$24=Control!$H$18, 1, PRODUCT(DL$26:INDEX($H$26:$NC$26, MATCH(Control!$H$18, $H$24:$NC$24, 0) + IF(DL$24 &lt; Control!$H$18, -1, 0)))/ IF(DL$24 &lt; Control!$H$18, 1, DL$26))</f>
        <v>1.2349583045337298</v>
      </c>
      <c r="DM27" s="1173">
        <f>IF(DM$24=Control!$H$18, 1, PRODUCT(DM$26:INDEX($H$26:$NC$26, MATCH(Control!$H$18, $H$24:$NC$24, 0) + IF(DM$24 &lt; Control!$H$18, -1, 0)))/ IF(DM$24 &lt; Control!$H$18, 1, DM$26))</f>
        <v>1.2374510705474107</v>
      </c>
      <c r="DN27" s="1173">
        <f>IF(DN$24=Control!$H$18, 1, PRODUCT(DN$26:INDEX($H$26:$NC$26, MATCH(Control!$H$18, $H$24:$NC$24, 0) + IF(DN$24 &lt; Control!$H$18, -1, 0)))/ IF(DN$24 &lt; Control!$H$18, 1, DN$26))</f>
        <v>1.2399488682146915</v>
      </c>
      <c r="DO27" s="1173">
        <f>IF(DO$24=Control!$H$18, 1, PRODUCT(DO$26:INDEX($H$26:$NC$26, MATCH(Control!$H$18, $H$24:$NC$24, 0) + IF(DO$24 &lt; Control!$H$18, -1, 0)))/ IF(DO$24 &lt; Control!$H$18, 1, DO$26))</f>
        <v>1.2424517076919763</v>
      </c>
      <c r="DP27" s="1173">
        <f>IF(DP$24=Control!$H$18, 1, PRODUCT(DP$26:INDEX($H$26:$NC$26, MATCH(Control!$H$18, $H$24:$NC$24, 0) + IF(DP$24 &lt; Control!$H$18, -1, 0)))/ IF(DP$24 &lt; Control!$H$18, 1, DP$26))</f>
        <v>1.2449595991561693</v>
      </c>
      <c r="DQ27" s="1173">
        <f>IF(DQ$24=Control!$H$18, 1, PRODUCT(DQ$26:INDEX($H$26:$NC$26, MATCH(Control!$H$18, $H$24:$NC$24, 0) + IF(DQ$24 &lt; Control!$H$18, -1, 0)))/ IF(DQ$24 &lt; Control!$H$18, 1, DQ$26))</f>
        <v>1.2474870989713451</v>
      </c>
      <c r="DR27" s="1173">
        <f>IF(DR$24=Control!$H$18, 1, PRODUCT(DR$26:INDEX($H$26:$NC$26, MATCH(Control!$H$18, $H$24:$NC$24, 0) + IF(DR$24 &lt; Control!$H$18, -1, 0)))/ IF(DR$24 &lt; Control!$H$18, 1, DR$26))</f>
        <v>1.2500197300818017</v>
      </c>
      <c r="DS27" s="1173">
        <f>IF(DS$24=Control!$H$18, 1, PRODUCT(DS$26:INDEX($H$26:$NC$26, MATCH(Control!$H$18, $H$24:$NC$24, 0) + IF(DS$24 &lt; Control!$H$18, -1, 0)))/ IF(DS$24 &lt; Control!$H$18, 1, DS$26))</f>
        <v>1.2525575029050238</v>
      </c>
      <c r="DT27" s="1173">
        <f>IF(DT$24=Control!$H$18, 1, PRODUCT(DT$26:INDEX($H$26:$NC$26, MATCH(Control!$H$18, $H$24:$NC$24, 0) + IF(DT$24 &lt; Control!$H$18, -1, 0)))/ IF(DT$24 &lt; Control!$H$18, 1, DT$26))</f>
        <v>1.2551004278796456</v>
      </c>
      <c r="DU27" s="1173">
        <f>IF(DU$24=Control!$H$18, 1, PRODUCT(DU$26:INDEX($H$26:$NC$26, MATCH(Control!$H$18, $H$24:$NC$24, 0) + IF(DU$24 &lt; Control!$H$18, -1, 0)))/ IF(DU$24 &lt; Control!$H$18, 1, DU$26))</f>
        <v>1.2576485154654942</v>
      </c>
      <c r="DV27" s="1173">
        <f>IF(DV$24=Control!$H$18, 1, PRODUCT(DV$26:INDEX($H$26:$NC$26, MATCH(Control!$H$18, $H$24:$NC$24, 0) + IF(DV$24 &lt; Control!$H$18, -1, 0)))/ IF(DV$24 &lt; Control!$H$18, 1, DV$26))</f>
        <v>1.2602017761436315</v>
      </c>
      <c r="DW27" s="1173">
        <f>IF(DW$24=Control!$H$18, 1, PRODUCT(DW$26:INDEX($H$26:$NC$26, MATCH(Control!$H$18, $H$24:$NC$24, 0) + IF(DW$24 &lt; Control!$H$18, -1, 0)))/ IF(DW$24 &lt; Control!$H$18, 1, DW$26))</f>
        <v>1.2627602204163983</v>
      </c>
      <c r="DX27" s="1173">
        <f>IF(DX$24=Control!$H$18, 1, PRODUCT(DX$26:INDEX($H$26:$NC$26, MATCH(Control!$H$18, $H$24:$NC$24, 0) + IF(DX$24 &lt; Control!$H$18, -1, 0)))/ IF(DX$24 &lt; Control!$H$18, 1, DX$26))</f>
        <v>1.2653238588074571</v>
      </c>
      <c r="DY27" s="1173">
        <f>IF(DY$24=Control!$H$18, 1, PRODUCT(DY$26:INDEX($H$26:$NC$26, MATCH(Control!$H$18, $H$24:$NC$24, 0) + IF(DY$24 &lt; Control!$H$18, -1, 0)))/ IF(DY$24 &lt; Control!$H$18, 1, DY$26))</f>
        <v>1.2678927018618351</v>
      </c>
      <c r="DZ27" s="1173">
        <f>IF(DZ$24=Control!$H$18, 1, PRODUCT(DZ$26:INDEX($H$26:$NC$26, MATCH(Control!$H$18, $H$24:$NC$24, 0) + IF(DZ$24 &lt; Control!$H$18, -1, 0)))/ IF(DZ$24 &lt; Control!$H$18, 1, DZ$26))</f>
        <v>1.2704667601459678</v>
      </c>
      <c r="EA27" s="1173">
        <f>IF(EA$24=Control!$H$18, 1, PRODUCT(EA$26:INDEX($H$26:$NC$26, MATCH(Control!$H$18, $H$24:$NC$24, 0) + IF(EA$24 &lt; Control!$H$18, -1, 0)))/ IF(EA$24 &lt; Control!$H$18, 1, EA$26))</f>
        <v>1.2730460442477431</v>
      </c>
      <c r="EB27" s="1173">
        <f>IF(EB$24=Control!$H$18, 1, PRODUCT(EB$26:INDEX($H$26:$NC$26, MATCH(Control!$H$18, $H$24:$NC$24, 0) + IF(EB$24 &lt; Control!$H$18, -1, 0)))/ IF(EB$24 &lt; Control!$H$18, 1, EB$26))</f>
        <v>1.2756305647765438</v>
      </c>
      <c r="EC27" s="1173">
        <f>IF(EC$24=Control!$H$18, 1, PRODUCT(EC$26:INDEX($H$26:$NC$26, MATCH(Control!$H$18, $H$24:$NC$24, 0) + IF(EC$24 &lt; Control!$H$18, -1, 0)))/ IF(EC$24 &lt; Control!$H$18, 1, EC$26))</f>
        <v>1.2782346523893036</v>
      </c>
      <c r="ED27" s="1173">
        <f>IF(ED$24=Control!$H$18, 1, PRODUCT(ED$26:INDEX($H$26:$NC$26, MATCH(Control!$H$18, $H$24:$NC$24, 0) + IF(ED$24 &lt; Control!$H$18, -1, 0)))/ IF(ED$24 &lt; Control!$H$18, 1, ED$26))</f>
        <v>1.2808440560179084</v>
      </c>
      <c r="EE27" s="1173">
        <f>IF(EE$24=Control!$H$18, 1, PRODUCT(EE$26:INDEX($H$26:$NC$26, MATCH(Control!$H$18, $H$24:$NC$24, 0) + IF(EE$24 &lt; Control!$H$18, -1, 0)))/ IF(EE$24 &lt; Control!$H$18, 1, EE$26))</f>
        <v>1.2834587865145373</v>
      </c>
      <c r="EF27" s="1173">
        <f>IF(EF$24=Control!$H$18, 1, PRODUCT(EF$26:INDEX($H$26:$NC$26, MATCH(Control!$H$18, $H$24:$NC$24, 0) + IF(EF$24 &lt; Control!$H$18, -1, 0)))/ IF(EF$24 &lt; Control!$H$18, 1, EF$26))</f>
        <v>1.2860788547535227</v>
      </c>
      <c r="EG27" s="1173">
        <f>IF(EG$24=Control!$H$18, 1, PRODUCT(EG$26:INDEX($H$26:$NC$26, MATCH(Control!$H$18, $H$24:$NC$24, 0) + IF(EG$24 &lt; Control!$H$18, -1, 0)))/ IF(EG$24 &lt; Control!$H$18, 1, EG$26))</f>
        <v>1.2887042716313963</v>
      </c>
      <c r="EH27" s="1173">
        <f>IF(EH$24=Control!$H$18, 1, PRODUCT(EH$26:INDEX($H$26:$NC$26, MATCH(Control!$H$18, $H$24:$NC$24, 0) + IF(EH$24 &lt; Control!$H$18, -1, 0)))/ IF(EH$24 &lt; Control!$H$18, 1, EH$26))</f>
        <v>1.2913350480669341</v>
      </c>
      <c r="EI27" s="1173">
        <f>IF(EI$24=Control!$H$18, 1, PRODUCT(EI$26:INDEX($H$26:$NC$26, MATCH(Control!$H$18, $H$24:$NC$24, 0) + IF(EI$24 &lt; Control!$H$18, -1, 0)))/ IF(EI$24 &lt; Control!$H$18, 1, EI$26))</f>
        <v>1.2939711950012016</v>
      </c>
      <c r="EJ27" s="1173">
        <f>IF(EJ$24=Control!$H$18, 1, PRODUCT(EJ$26:INDEX($H$26:$NC$26, MATCH(Control!$H$18, $H$24:$NC$24, 0) + IF(EJ$24 &lt; Control!$H$18, -1, 0)))/ IF(EJ$24 &lt; Control!$H$18, 1, EJ$26))</f>
        <v>1.2966127233975997</v>
      </c>
      <c r="EK27" s="1173">
        <f>IF(EK$24=Control!$H$18, 1, PRODUCT(EK$26:INDEX($H$26:$NC$26, MATCH(Control!$H$18, $H$24:$NC$24, 0) + IF(EK$24 &lt; Control!$H$18, -1, 0)))/ IF(EK$24 &lt; Control!$H$18, 1, EK$26))</f>
        <v>1.29925964424191</v>
      </c>
      <c r="EL27" s="1173">
        <f>IF(EL$24=Control!$H$18, 1, PRODUCT(EL$26:INDEX($H$26:$NC$26, MATCH(Control!$H$18, $H$24:$NC$24, 0) + IF(EL$24 &lt; Control!$H$18, -1, 0)))/ IF(EL$24 &lt; Control!$H$18, 1, EL$26))</f>
        <v>1.3019119685423406</v>
      </c>
      <c r="EM27" s="1173">
        <f>IF(EM$24=Control!$H$18, 1, PRODUCT(EM$26:INDEX($H$26:$NC$26, MATCH(Control!$H$18, $H$24:$NC$24, 0) + IF(EM$24 &lt; Control!$H$18, -1, 0)))/ IF(EM$24 &lt; Control!$H$18, 1, EM$26))</f>
        <v>1.3045697073295721</v>
      </c>
      <c r="EN27" s="1173">
        <f>IF(EN$24=Control!$H$18, 1, PRODUCT(EN$26:INDEX($H$26:$NC$26, MATCH(Control!$H$18, $H$24:$NC$24, 0) + IF(EN$24 &lt; Control!$H$18, -1, 0)))/ IF(EN$24 &lt; Control!$H$18, 1, EN$26))</f>
        <v>1.3072328716568031</v>
      </c>
      <c r="EO27" s="1173">
        <f>IF(EO$24=Control!$H$18, 1, PRODUCT(EO$26:INDEX($H$26:$NC$26, MATCH(Control!$H$18, $H$24:$NC$24, 0) + IF(EO$24 &lt; Control!$H$18, -1, 0)))/ IF(EO$24 &lt; Control!$H$18, 1, EO$26))</f>
        <v>1.3099154058343487</v>
      </c>
      <c r="EP27" s="1173">
        <f>IF(EP$24=Control!$H$18, 1, PRODUCT(EP$26:INDEX($H$26:$NC$26, MATCH(Control!$H$18, $H$24:$NC$24, 0) + IF(EP$24 &lt; Control!$H$18, -1, 0)))/ IF(EP$24 &lt; Control!$H$18, 1, EP$26))</f>
        <v>1.3126034447614838</v>
      </c>
      <c r="EQ27" s="1173">
        <f>IF(EQ$24=Control!$H$18, 1, PRODUCT(EQ$26:INDEX($H$26:$NC$26, MATCH(Control!$H$18, $H$24:$NC$24, 0) + IF(EQ$24 &lt; Control!$H$18, -1, 0)))/ IF(EQ$24 &lt; Control!$H$18, 1, EQ$26))</f>
        <v>1.3152969997343436</v>
      </c>
      <c r="ER27" s="1173">
        <f>IF(ER$24=Control!$H$18, 1, PRODUCT(ER$26:INDEX($H$26:$NC$26, MATCH(Control!$H$18, $H$24:$NC$24, 0) + IF(ER$24 &lt; Control!$H$18, -1, 0)))/ IF(ER$24 &lt; Control!$H$18, 1, ER$26))</f>
        <v>1.3179960820722432</v>
      </c>
      <c r="ES27" s="1173">
        <f>IF(ES$24=Control!$H$18, 1, PRODUCT(ES$26:INDEX($H$26:$NC$26, MATCH(Control!$H$18, $H$24:$NC$24, 0) + IF(ES$24 &lt; Control!$H$18, -1, 0)))/ IF(ES$24 &lt; Control!$H$18, 1, ES$26))</f>
        <v>1.320700703117726</v>
      </c>
      <c r="ET27" s="1173">
        <f>IF(ET$24=Control!$H$18, 1, PRODUCT(ET$26:INDEX($H$26:$NC$26, MATCH(Control!$H$18, $H$24:$NC$24, 0) + IF(ET$24 &lt; Control!$H$18, -1, 0)))/ IF(ET$24 &lt; Control!$H$18, 1, ET$26))</f>
        <v>1.3234108742366113</v>
      </c>
      <c r="EU27" s="1173">
        <f>IF(EU$24=Control!$H$18, 1, PRODUCT(EU$26:INDEX($H$26:$NC$26, MATCH(Control!$H$18, $H$24:$NC$24, 0) + IF(EU$24 &lt; Control!$H$18, -1, 0)))/ IF(EU$24 &lt; Control!$H$18, 1, EU$26))</f>
        <v>1.3261266068180417</v>
      </c>
      <c r="EV27" s="1173">
        <f>IF(EV$24=Control!$H$18, 1, PRODUCT(EV$26:INDEX($H$26:$NC$26, MATCH(Control!$H$18, $H$24:$NC$24, 0) + IF(EV$24 &lt; Control!$H$18, -1, 0)))/ IF(EV$24 &lt; Control!$H$18, 1, EV$26))</f>
        <v>1.3288479122745311</v>
      </c>
      <c r="EW27" s="1173">
        <f>IF(EW$24=Control!$H$18, 1, PRODUCT(EW$26:INDEX($H$26:$NC$26, MATCH(Control!$H$18, $H$24:$NC$24, 0) + IF(EW$24 &lt; Control!$H$18, -1, 0)))/ IF(EW$24 &lt; Control!$H$18, 1, EW$26))</f>
        <v>1.3315748020420128</v>
      </c>
      <c r="EX27" s="1173">
        <f>IF(EX$24=Control!$H$18, 1, PRODUCT(EX$26:INDEX($H$26:$NC$26, MATCH(Control!$H$18, $H$24:$NC$24, 0) + IF(EX$24 &lt; Control!$H$18, -1, 0)))/ IF(EX$24 &lt; Control!$H$18, 1, EX$26))</f>
        <v>1.3343072875798871</v>
      </c>
      <c r="EY27" s="1173">
        <f>IF(EY$24=Control!$H$18, 1, PRODUCT(EY$26:INDEX($H$26:$NC$26, MATCH(Control!$H$18, $H$24:$NC$24, 0) + IF(EY$24 &lt; Control!$H$18, -1, 0)))/ IF(EY$24 &lt; Control!$H$18, 1, EY$26))</f>
        <v>1.3370453803710705</v>
      </c>
      <c r="EZ27" s="1173">
        <f>IF(EZ$24=Control!$H$18, 1, PRODUCT(EZ$26:INDEX($H$26:$NC$26, MATCH(Control!$H$18, $H$24:$NC$24, 0) + IF(EZ$24 &lt; Control!$H$18, -1, 0)))/ IF(EZ$24 &lt; Control!$H$18, 1, EZ$26))</f>
        <v>1.3397890919220423</v>
      </c>
      <c r="FA27" s="1173">
        <f>IF(FA$24=Control!$H$18, 1, PRODUCT(FA$26:INDEX($H$26:$NC$26, MATCH(Control!$H$18, $H$24:$NC$24, 0) + IF(FA$24 &lt; Control!$H$18, -1, 0)))/ IF(FA$24 &lt; Control!$H$18, 1, FA$26))</f>
        <v>1.3425518955981435</v>
      </c>
      <c r="FB27" s="1173">
        <f>IF(FB$24=Control!$H$18, 1, PRODUCT(FB$26:INDEX($H$26:$NC$26, MATCH(Control!$H$18, $H$24:$NC$24, 0) + IF(FB$24 &lt; Control!$H$18, -1, 0)))/ IF(FB$24 &lt; Control!$H$18, 1, FB$26))</f>
        <v>1.3453203965024119</v>
      </c>
      <c r="FC27" s="1173">
        <f>IF(FC$24=Control!$H$18, 1, PRODUCT(FC$26:INDEX($H$26:$NC$26, MATCH(Control!$H$18, $H$24:$NC$24, 0) + IF(FC$24 &lt; Control!$H$18, -1, 0)))/ IF(FC$24 &lt; Control!$H$18, 1, FC$26))</f>
        <v>1.3480946063832064</v>
      </c>
      <c r="FD27" s="1173">
        <f>IF(FD$24=Control!$H$18, 1, PRODUCT(FD$26:INDEX($H$26:$NC$26, MATCH(Control!$H$18, $H$24:$NC$24, 0) + IF(FD$24 &lt; Control!$H$18, -1, 0)))/ IF(FD$24 &lt; Control!$H$18, 1, FD$26))</f>
        <v>1.3508745370131123</v>
      </c>
      <c r="FE27" s="1173">
        <f>IF(FE$24=Control!$H$18, 1, PRODUCT(FE$26:INDEX($H$26:$NC$26, MATCH(Control!$H$18, $H$24:$NC$24, 0) + IF(FE$24 &lt; Control!$H$18, -1, 0)))/ IF(FE$24 &lt; Control!$H$18, 1, FE$26))</f>
        <v>1.3536602001889912</v>
      </c>
      <c r="FF27" s="1173">
        <f>IF(FF$24=Control!$H$18, 1, PRODUCT(FF$26:INDEX($H$26:$NC$26, MATCH(Control!$H$18, $H$24:$NC$24, 0) + IF(FF$24 &lt; Control!$H$18, -1, 0)))/ IF(FF$24 &lt; Control!$H$18, 1, FF$26))</f>
        <v>1.3564516077320314</v>
      </c>
      <c r="FG27" s="1173">
        <f>IF(FG$24=Control!$H$18, 1, PRODUCT(FG$26:INDEX($H$26:$NC$26, MATCH(Control!$H$18, $H$24:$NC$24, 0) + IF(FG$24 &lt; Control!$H$18, -1, 0)))/ IF(FG$24 &lt; Control!$H$18, 1, FG$26))</f>
        <v>1.3592487714877979</v>
      </c>
      <c r="FH27" s="1173">
        <f>IF(FH$24=Control!$H$18, 1, PRODUCT(FH$26:INDEX($H$26:$NC$26, MATCH(Control!$H$18, $H$24:$NC$24, 0) + IF(FH$24 &lt; Control!$H$18, -1, 0)))/ IF(FH$24 &lt; Control!$H$18, 1, FH$26))</f>
        <v>1.3620517033262824</v>
      </c>
      <c r="FI27" s="1173">
        <f>IF(FI$24=Control!$H$18, 1, PRODUCT(FI$26:INDEX($H$26:$NC$26, MATCH(Control!$H$18, $H$24:$NC$24, 0) + IF(FI$24 &lt; Control!$H$18, -1, 0)))/ IF(FI$24 &lt; Control!$H$18, 1, FI$26))</f>
        <v>1.3648604151419543</v>
      </c>
      <c r="FJ27" s="1173">
        <f>IF(FJ$24=Control!$H$18, 1, PRODUCT(FJ$26:INDEX($H$26:$NC$26, MATCH(Control!$H$18, $H$24:$NC$24, 0) + IF(FJ$24 &lt; Control!$H$18, -1, 0)))/ IF(FJ$24 &lt; Control!$H$18, 1, FJ$26))</f>
        <v>1.3676749188538107</v>
      </c>
      <c r="FK27" s="1173">
        <f>IF(FK$24=Control!$H$18, 1, PRODUCT(FK$26:INDEX($H$26:$NC$26, MATCH(Control!$H$18, $H$24:$NC$24, 0) + IF(FK$24 &lt; Control!$H$18, -1, 0)))/ IF(FK$24 &lt; Control!$H$18, 1, FK$26))</f>
        <v>1.3704952264054269</v>
      </c>
      <c r="FL27" s="1173">
        <f>IF(FL$24=Control!$H$18, 1, PRODUCT(FL$26:INDEX($H$26:$NC$26, MATCH(Control!$H$18, $H$24:$NC$24, 0) + IF(FL$24 &lt; Control!$H$18, -1, 0)))/ IF(FL$24 &lt; Control!$H$18, 1, FL$26))</f>
        <v>1.3733213497650074</v>
      </c>
      <c r="FM27" s="1173">
        <f>IF(FM$24=Control!$H$18, 1, PRODUCT(FM$26:INDEX($H$26:$NC$26, MATCH(Control!$H$18, $H$24:$NC$24, 0) + IF(FM$24 &lt; Control!$H$18, -1, 0)))/ IF(FM$24 &lt; Control!$H$18, 1, FM$26))</f>
        <v>1.3761662734203002</v>
      </c>
      <c r="FN27" s="1173">
        <f>IF(FN$24=Control!$H$18, 1, PRODUCT(FN$26:INDEX($H$26:$NC$26, MATCH(Control!$H$18, $H$24:$NC$24, 0) + IF(FN$24 &lt; Control!$H$18, -1, 0)))/ IF(FN$24 &lt; Control!$H$18, 1, FN$26))</f>
        <v>1.3790170905182353</v>
      </c>
      <c r="FO27" s="1173">
        <f>IF(FO$24=Control!$H$18, 1, PRODUCT(FO$26:INDEX($H$26:$NC$26, MATCH(Control!$H$18, $H$24:$NC$24, 0) + IF(FO$24 &lt; Control!$H$18, -1, 0)))/ IF(FO$24 &lt; Control!$H$18, 1, FO$26))</f>
        <v>1.3818738132674588</v>
      </c>
      <c r="FP27" s="1173">
        <f>IF(FP$24=Control!$H$18, 1, PRODUCT(FP$26:INDEX($H$26:$NC$26, MATCH(Control!$H$18, $H$24:$NC$24, 0) + IF(FP$24 &lt; Control!$H$18, -1, 0)))/ IF(FP$24 &lt; Control!$H$18, 1, FP$26))</f>
        <v>1.3847364539019082</v>
      </c>
      <c r="FQ27" s="1173">
        <f>IF(FQ$24=Control!$H$18, 1, PRODUCT(FQ$26:INDEX($H$26:$NC$26, MATCH(Control!$H$18, $H$24:$NC$24, 0) + IF(FQ$24 &lt; Control!$H$18, -1, 0)))/ IF(FQ$24 &lt; Control!$H$18, 1, FQ$26))</f>
        <v>1.3876050246808638</v>
      </c>
      <c r="FR27" s="1173">
        <f>IF(FR$24=Control!$H$18, 1, PRODUCT(FR$26:INDEX($H$26:$NC$26, MATCH(Control!$H$18, $H$24:$NC$24, 0) + IF(FR$24 &lt; Control!$H$18, -1, 0)))/ IF(FR$24 &lt; Control!$H$18, 1, FR$26))</f>
        <v>1.3904795378890018</v>
      </c>
      <c r="FS27" s="1173">
        <f>IF(FS$24=Control!$H$18, 1, PRODUCT(FS$26:INDEX($H$26:$NC$26, MATCH(Control!$H$18, $H$24:$NC$24, 0) + IF(FS$24 &lt; Control!$H$18, -1, 0)))/ IF(FS$24 &lt; Control!$H$18, 1, FS$26))</f>
        <v>1.3933600058364475</v>
      </c>
      <c r="FT27" s="1173">
        <f>IF(FT$24=Control!$H$18, 1, PRODUCT(FT$26:INDEX($H$26:$NC$26, MATCH(Control!$H$18, $H$24:$NC$24, 0) + IF(FT$24 &lt; Control!$H$18, -1, 0)))/ IF(FT$24 &lt; Control!$H$18, 1, FT$26))</f>
        <v>1.3962464408588267</v>
      </c>
      <c r="FU27" s="1173">
        <f>IF(FU$24=Control!$H$18, 1, PRODUCT(FU$26:INDEX($H$26:$NC$26, MATCH(Control!$H$18, $H$24:$NC$24, 0) + IF(FU$24 &lt; Control!$H$18, -1, 0)))/ IF(FU$24 &lt; Control!$H$18, 1, FU$26))</f>
        <v>1.3991388553173196</v>
      </c>
      <c r="FV27" s="1173">
        <f>IF(FV$24=Control!$H$18, 1, PRODUCT(FV$26:INDEX($H$26:$NC$26, MATCH(Control!$H$18, $H$24:$NC$24, 0) + IF(FV$24 &lt; Control!$H$18, -1, 0)))/ IF(FV$24 &lt; Control!$H$18, 1, FV$26))</f>
        <v>1.4020372615987136</v>
      </c>
      <c r="FW27" s="1173">
        <f>IF(FW$24=Control!$H$18, 1, PRODUCT(FW$26:INDEX($H$26:$NC$26, MATCH(Control!$H$18, $H$24:$NC$24, 0) + IF(FW$24 &lt; Control!$H$18, -1, 0)))/ IF(FW$24 &lt; Control!$H$18, 1, FW$26))</f>
        <v>1.4049416721154557</v>
      </c>
      <c r="FX27" s="1173">
        <f>IF(FX$24=Control!$H$18, 1, PRODUCT(FX$26:INDEX($H$26:$NC$26, MATCH(Control!$H$18, $H$24:$NC$24, 0) + IF(FX$24 &lt; Control!$H$18, -1, 0)))/ IF(FX$24 &lt; Control!$H$18, 1, FX$26))</f>
        <v>1.4078520993057064</v>
      </c>
      <c r="FY27" s="1173">
        <f>IF(FY$24=Control!$H$18, 1, PRODUCT(FY$26:INDEX($H$26:$NC$26, MATCH(Control!$H$18, $H$24:$NC$24, 0) + IF(FY$24 &lt; Control!$H$18, -1, 0)))/ IF(FY$24 &lt; Control!$H$18, 1, FY$26))</f>
        <v>1.4107810312524751</v>
      </c>
      <c r="FZ27" s="1173">
        <f>IF(FZ$24=Control!$H$18, 1, PRODUCT(FZ$26:INDEX($H$26:$NC$26, MATCH(Control!$H$18, $H$24:$NC$24, 0) + IF(FZ$24 &lt; Control!$H$18, -1, 0)))/ IF(FZ$24 &lt; Control!$H$18, 1, FZ$26))</f>
        <v>1.4137160566250753</v>
      </c>
      <c r="GA27" s="1173">
        <f>IF(GA$24=Control!$H$18, 1, PRODUCT(GA$26:INDEX($H$26:$NC$26, MATCH(Control!$H$18, $H$24:$NC$24, 0) + IF(GA$24 &lt; Control!$H$18, -1, 0)))/ IF(GA$24 &lt; Control!$H$18, 1, GA$26))</f>
        <v>1.4166571881004277</v>
      </c>
      <c r="GB27" s="1173">
        <f>IF(GB$24=Control!$H$18, 1, PRODUCT(GB$26:INDEX($H$26:$NC$26, MATCH(Control!$H$18, $H$24:$NC$24, 0) + IF(GB$24 &lt; Control!$H$18, -1, 0)))/ IF(GB$24 &lt; Control!$H$18, 1, GB$26))</f>
        <v>1.4196044383818267</v>
      </c>
      <c r="GC27" s="1173">
        <f>IF(GC$24=Control!$H$18, 1, PRODUCT(GC$26:INDEX($H$26:$NC$26, MATCH(Control!$H$18, $H$24:$NC$24, 0) + IF(GC$24 &lt; Control!$H$18, -1, 0)))/ IF(GC$24 &lt; Control!$H$18, 1, GC$26))</f>
        <v>1.4225578201989946</v>
      </c>
      <c r="GD27" s="1173">
        <f>IF(GD$24=Control!$H$18, 1, PRODUCT(GD$26:INDEX($H$26:$NC$26, MATCH(Control!$H$18, $H$24:$NC$24, 0) + IF(GD$24 &lt; Control!$H$18, -1, 0)))/ IF(GD$24 &lt; Control!$H$18, 1, GD$26))</f>
        <v>1.4255173463081372</v>
      </c>
      <c r="GE27" s="1173">
        <f>IF(GE$24=Control!$H$18, 1, PRODUCT(GE$26:INDEX($H$26:$NC$26, MATCH(Control!$H$18, $H$24:$NC$24, 0) + IF(GE$24 &lt; Control!$H$18, -1, 0)))/ IF(GE$24 &lt; Control!$H$18, 1, GE$26))</f>
        <v>1.4284830294919986</v>
      </c>
      <c r="GF27" s="1173">
        <f>IF(GF$24=Control!$H$18, 1, PRODUCT(GF$26:INDEX($H$26:$NC$26, MATCH(Control!$H$18, $H$24:$NC$24, 0) + IF(GF$24 &lt; Control!$H$18, -1, 0)))/ IF(GF$24 &lt; Control!$H$18, 1, GF$26))</f>
        <v>1.4314548825599163</v>
      </c>
      <c r="GG27" s="1173">
        <f>IF(GG$24=Control!$H$18, 1, PRODUCT(GG$26:INDEX($H$26:$NC$26, MATCH(Control!$H$18, $H$24:$NC$24, 0) + IF(GG$24 &lt; Control!$H$18, -1, 0)))/ IF(GG$24 &lt; Control!$H$18, 1, GG$26))</f>
        <v>1.4344329183478768</v>
      </c>
      <c r="GH27" s="1173">
        <f>IF(GH$24=Control!$H$18, 1, PRODUCT(GH$26:INDEX($H$26:$NC$26, MATCH(Control!$H$18, $H$24:$NC$24, 0) + IF(GH$24 &lt; Control!$H$18, -1, 0)))/ IF(GH$24 &lt; Control!$H$18, 1, GH$26))</f>
        <v>1.437417149718571</v>
      </c>
      <c r="GI27" s="1173">
        <f>IF(GI$24=Control!$H$18, 1, PRODUCT(GI$26:INDEX($H$26:$NC$26, MATCH(Control!$H$18, $H$24:$NC$24, 0) + IF(GI$24 &lt; Control!$H$18, -1, 0)))/ IF(GI$24 &lt; Control!$H$18, 1, GI$26))</f>
        <v>1.4404075895614497</v>
      </c>
      <c r="GJ27" s="1173">
        <f>IF(GJ$24=Control!$H$18, 1, PRODUCT(GJ$26:INDEX($H$26:$NC$26, MATCH(Control!$H$18, $H$24:$NC$24, 0) + IF(GJ$24 &lt; Control!$H$18, -1, 0)))/ IF(GJ$24 &lt; Control!$H$18, 1, GJ$26))</f>
        <v>1.4434042507927787</v>
      </c>
      <c r="GK27" s="1173">
        <f>IF(GK$24=Control!$H$18, 1, PRODUCT(GK$26:INDEX($H$26:$NC$26, MATCH(Control!$H$18, $H$24:$NC$24, 0) + IF(GK$24 &lt; Control!$H$18, -1, 0)))/ IF(GK$24 &lt; Control!$H$18, 1, GK$26))</f>
        <v>1.4464191359112315</v>
      </c>
      <c r="GL27" s="1173">
        <f>IF(GL$24=Control!$H$18, 1, PRODUCT(GL$26:INDEX($H$26:$NC$26, MATCH(Control!$H$18, $H$24:$NC$24, 0) + IF(GL$24 &lt; Control!$H$18, -1, 0)))/ IF(GL$24 &lt; Control!$H$18, 1, GL$26))</f>
        <v>1.4494403183176912</v>
      </c>
      <c r="GM27" s="1173">
        <f>IF(GM$24=Control!$H$18, 1, PRODUCT(GM$26:INDEX($H$26:$NC$26, MATCH(Control!$H$18, $H$24:$NC$24, 0) + IF(GM$24 &lt; Control!$H$18, -1, 0)))/ IF(GM$24 &lt; Control!$H$18, 1, GM$26))</f>
        <v>1.4524678111655065</v>
      </c>
      <c r="GN27" s="1173">
        <f>IF(GN$24=Control!$H$18, 1, PRODUCT(GN$26:INDEX($H$26:$NC$26, MATCH(Control!$H$18, $H$24:$NC$24, 0) + IF(GN$24 &lt; Control!$H$18, -1, 0)))/ IF(GN$24 &lt; Control!$H$18, 1, GN$26))</f>
        <v>1.4555016276355006</v>
      </c>
      <c r="GO27" s="1173">
        <f>IF(GO$24=Control!$H$18, 1, PRODUCT(GO$26:INDEX($H$26:$NC$26, MATCH(Control!$H$18, $H$24:$NC$24, 0) + IF(GO$24 &lt; Control!$H$18, -1, 0)))/ IF(GO$24 &lt; Control!$H$18, 1, GO$26))</f>
        <v>1.4585417809360275</v>
      </c>
      <c r="GP27" s="1173">
        <f>IF(GP$24=Control!$H$18, 1, PRODUCT(GP$26:INDEX($H$26:$NC$26, MATCH(Control!$H$18, $H$24:$NC$24, 0) + IF(GP$24 &lt; Control!$H$18, -1, 0)))/ IF(GP$24 &lt; Control!$H$18, 1, GP$26))</f>
        <v>1.4615882843030299</v>
      </c>
      <c r="GQ27" s="1173">
        <f>IF(GQ$24=Control!$H$18, 1, PRODUCT(GQ$26:INDEX($H$26:$NC$26, MATCH(Control!$H$18, $H$24:$NC$24, 0) + IF(GQ$24 &lt; Control!$H$18, -1, 0)))/ IF(GQ$24 &lt; Control!$H$18, 1, GQ$26))</f>
        <v>1.464641151000097</v>
      </c>
      <c r="GR27" s="1173">
        <f>IF(GR$24=Control!$H$18, 1, PRODUCT(GR$26:INDEX($H$26:$NC$26, MATCH(Control!$H$18, $H$24:$NC$24, 0) + IF(GR$24 &lt; Control!$H$18, -1, 0)))/ IF(GR$24 &lt; Control!$H$18, 1, GR$26))</f>
        <v>1.4677003943185218</v>
      </c>
      <c r="GS27" s="1173">
        <f>IF(GS$24=Control!$H$18, 1, PRODUCT(GS$26:INDEX($H$26:$NC$26, MATCH(Control!$H$18, $H$24:$NC$24, 0) + IF(GS$24 &lt; Control!$H$18, -1, 0)))/ IF(GS$24 &lt; Control!$H$18, 1, GS$26))</f>
        <v>1.4707660275773597</v>
      </c>
      <c r="GT27" s="1173">
        <f>IF(GT$24=Control!$H$18, 1, PRODUCT(GT$26:INDEX($H$26:$NC$26, MATCH(Control!$H$18, $H$24:$NC$24, 0) + IF(GT$24 &lt; Control!$H$18, -1, 0)))/ IF(GT$24 &lt; Control!$H$18, 1, GT$26))</f>
        <v>1.4738380641234856</v>
      </c>
      <c r="GU27" s="1173">
        <f>IF(GU$24=Control!$H$18, 1, PRODUCT(GU$26:INDEX($H$26:$NC$26, MATCH(Control!$H$18, $H$24:$NC$24, 0) + IF(GU$24 &lt; Control!$H$18, -1, 0)))/ IF(GU$24 &lt; Control!$H$18, 1, GU$26))</f>
        <v>1.4769165173316527</v>
      </c>
      <c r="GV27" s="1173">
        <f>IF(GV$24=Control!$H$18, 1, PRODUCT(GV$26:INDEX($H$26:$NC$26, MATCH(Control!$H$18, $H$24:$NC$24, 0) + IF(GV$24 &lt; Control!$H$18, -1, 0)))/ IF(GV$24 &lt; Control!$H$18, 1, GV$26))</f>
        <v>1.4800014006045505</v>
      </c>
      <c r="GW27" s="1173">
        <f>IF(GW$24=Control!$H$18, 1, PRODUCT(GW$26:INDEX($H$26:$NC$26, MATCH(Control!$H$18, $H$24:$NC$24, 0) + IF(GW$24 &lt; Control!$H$18, -1, 0)))/ IF(GW$24 &lt; Control!$H$18, 1, GW$26))</f>
        <v>1.4831042360688977</v>
      </c>
      <c r="GX27" s="1173">
        <f>IF(GX$24=Control!$H$18, 1, PRODUCT(GX$26:INDEX($H$26:$NC$26, MATCH(Control!$H$18, $H$24:$NC$24, 0) + IF(GX$24 &lt; Control!$H$18, -1, 0)))/ IF(GX$24 &lt; Control!$H$18, 1, GX$26))</f>
        <v>1.486213576654061</v>
      </c>
      <c r="GY27" s="1173">
        <f>IF(GY$24=Control!$H$18, 1, PRODUCT(GY$26:INDEX($H$26:$NC$26, MATCH(Control!$H$18, $H$24:$NC$24, 0) + IF(GY$24 &lt; Control!$H$18, -1, 0)))/ IF(GY$24 &lt; Control!$H$18, 1, GY$26))</f>
        <v>1.4893294359980811</v>
      </c>
      <c r="GZ27" s="1173">
        <f>IF(GZ$24=Control!$H$18, 1, PRODUCT(GZ$26:INDEX($H$26:$NC$26, MATCH(Control!$H$18, $H$24:$NC$24, 0) + IF(GZ$24 &lt; Control!$H$18, -1, 0)))/ IF(GZ$24 &lt; Control!$H$18, 1, GZ$26))</f>
        <v>1.4924518277675913</v>
      </c>
      <c r="HA27" s="1173">
        <f>IF(HA$24=Control!$H$18, 1, PRODUCT(HA$26:INDEX($H$26:$NC$26, MATCH(Control!$H$18, $H$24:$NC$24, 0) + IF(HA$24 &lt; Control!$H$18, -1, 0)))/ IF(HA$24 &lt; Control!$H$18, 1, HA$26))</f>
        <v>1.4955807656578768</v>
      </c>
      <c r="HB27" s="1173">
        <f>IF(HB$24=Control!$H$18, 1, PRODUCT(HB$26:INDEX($H$26:$NC$26, MATCH(Control!$H$18, $H$24:$NC$24, 0) + IF(HB$24 &lt; Control!$H$18, -1, 0)))/ IF(HB$24 &lt; Control!$H$18, 1, HB$26))</f>
        <v>1.4987162633929352</v>
      </c>
      <c r="HC27" s="1173">
        <f>IF(HC$24=Control!$H$18, 1, PRODUCT(HC$26:INDEX($H$26:$NC$26, MATCH(Control!$H$18, $H$24:$NC$24, 0) + IF(HC$24 &lt; Control!$H$18, -1, 0)))/ IF(HC$24 &lt; Control!$H$18, 1, HC$26))</f>
        <v>1.5018583347255368</v>
      </c>
      <c r="HD27" s="1173">
        <f>IF(HD$24=Control!$H$18, 1, PRODUCT(HD$26:INDEX($H$26:$NC$26, MATCH(Control!$H$18, $H$24:$NC$24, 0) + IF(HD$24 &lt; Control!$H$18, -1, 0)))/ IF(HD$24 &lt; Control!$H$18, 1, HD$26))</f>
        <v>1.5050069934372843</v>
      </c>
      <c r="HE27" s="1173">
        <f>IF(HE$24=Control!$H$18, 1, PRODUCT(HE$26:INDEX($H$26:$NC$26, MATCH(Control!$H$18, $H$24:$NC$24, 0) + IF(HE$24 &lt; Control!$H$18, -1, 0)))/ IF(HE$24 &lt; Control!$H$18, 1, HE$26))</f>
        <v>1.5081622533386738</v>
      </c>
      <c r="HF27" s="1173">
        <f>IF(HF$24=Control!$H$18, 1, PRODUCT(HF$26:INDEX($H$26:$NC$26, MATCH(Control!$H$18, $H$24:$NC$24, 0) + IF(HF$24 &lt; Control!$H$18, -1, 0)))/ IF(HF$24 &lt; Control!$H$18, 1, HF$26))</f>
        <v>1.5113241282691554</v>
      </c>
      <c r="HG27" s="1173">
        <f>IF(HG$24=Control!$H$18, 1, PRODUCT(HG$26:INDEX($H$26:$NC$26, MATCH(Control!$H$18, $H$24:$NC$24, 0) + IF(HG$24 &lt; Control!$H$18, -1, 0)))/ IF(HG$24 &lt; Control!$H$18, 1, HG$26))</f>
        <v>1.5144926320971934</v>
      </c>
      <c r="HH27" s="1173">
        <f>IF(HH$24=Control!$H$18, 1, PRODUCT(HH$26:INDEX($H$26:$NC$26, MATCH(Control!$H$18, $H$24:$NC$24, 0) + IF(HH$24 &lt; Control!$H$18, -1, 0)))/ IF(HH$24 &lt; Control!$H$18, 1, HH$26))</f>
        <v>1.5176677787203279</v>
      </c>
      <c r="HI27" s="1173">
        <f>IF(HI$24=Control!$H$18, 1, PRODUCT(HI$26:INDEX($H$26:$NC$26, MATCH(Control!$H$18, $H$24:$NC$24, 0) + IF(HI$24 &lt; Control!$H$18, -1, 0)))/ IF(HI$24 &lt; Control!$H$18, 1, HI$26))</f>
        <v>1.520860635088169</v>
      </c>
      <c r="HJ27" s="1173">
        <f>IF(HJ$24=Control!$H$18, 1, PRODUCT(HJ$26:INDEX($H$26:$NC$26, MATCH(Control!$H$18, $H$24:$NC$24, 0) + IF(HJ$24 &lt; Control!$H$18, -1, 0)))/ IF(HJ$24 &lt; Control!$H$18, 1, HJ$26))</f>
        <v>1.5240602085596666</v>
      </c>
      <c r="HK27" s="1173">
        <f>IF(HK$24=Control!$H$18, 1, PRODUCT(HK$26:INDEX($H$26:$NC$26, MATCH(Control!$H$18, $H$24:$NC$24, 0) + IF(HK$24 &lt; Control!$H$18, -1, 0)))/ IF(HK$24 &lt; Control!$H$18, 1, HK$26))</f>
        <v>1.5272665132662053</v>
      </c>
      <c r="HL27" s="1173">
        <f>IF(HL$24=Control!$H$18, 1, PRODUCT(HL$26:INDEX($H$26:$NC$26, MATCH(Control!$H$18, $H$24:$NC$24, 0) + IF(HL$24 &lt; Control!$H$18, -1, 0)))/ IF(HL$24 &lt; Control!$H$18, 1, HL$26))</f>
        <v>1.5304795633688992</v>
      </c>
      <c r="HM27" s="1173">
        <f>IF(HM$24=Control!$H$18, 1, PRODUCT(HM$26:INDEX($H$26:$NC$26, MATCH(Control!$H$18, $H$24:$NC$24, 0) + IF(HM$24 &lt; Control!$H$18, -1, 0)))/ IF(HM$24 &lt; Control!$H$18, 1, HM$26))</f>
        <v>1.5336993730586546</v>
      </c>
      <c r="HN27" s="1173">
        <f>IF(HN$24=Control!$H$18, 1, PRODUCT(HN$26:INDEX($H$26:$NC$26, MATCH(Control!$H$18, $H$24:$NC$24, 0) + IF(HN$24 &lt; Control!$H$18, -1, 0)))/ IF(HN$24 &lt; Control!$H$18, 1, HN$26))</f>
        <v>1.5369259565562321</v>
      </c>
      <c r="HO27" s="1173">
        <f>IF(HO$24=Control!$H$18, 1, PRODUCT(HO$26:INDEX($H$26:$NC$26, MATCH(Control!$H$18, $H$24:$NC$24, 0) + IF(HO$24 &lt; Control!$H$18, -1, 0)))/ IF(HO$24 &lt; Control!$H$18, 1, HO$26))</f>
        <v>1.5401593281123105</v>
      </c>
      <c r="HP27" s="1173">
        <f>IF(HP$24=Control!$H$18, 1, PRODUCT(HP$26:INDEX($H$26:$NC$26, MATCH(Control!$H$18, $H$24:$NC$24, 0) + IF(HP$24 &lt; Control!$H$18, -1, 0)))/ IF(HP$24 &lt; Control!$H$18, 1, HP$26))</f>
        <v>1.5433995020075484</v>
      </c>
      <c r="HQ27" s="1173">
        <f>IF(HQ$24=Control!$H$18, 1, PRODUCT(HQ$26:INDEX($H$26:$NC$26, MATCH(Control!$H$18, $H$24:$NC$24, 0) + IF(HQ$24 &lt; Control!$H$18, -1, 0)))/ IF(HQ$24 &lt; Control!$H$18, 1, HQ$26))</f>
        <v>1.5466464925526482</v>
      </c>
      <c r="HR27" s="1173">
        <f>IF(HR$24=Control!$H$18, 1, PRODUCT(HR$26:INDEX($H$26:$NC$26, MATCH(Control!$H$18, $H$24:$NC$24, 0) + IF(HR$24 &lt; Control!$H$18, -1, 0)))/ IF(HR$24 &lt; Control!$H$18, 1, HR$26))</f>
        <v>1.5499003140884191</v>
      </c>
      <c r="HS27" s="1173">
        <f>IF(HS$24=Control!$H$18, 1, PRODUCT(HS$26:INDEX($H$26:$NC$26, MATCH(Control!$H$18, $H$24:$NC$24, 0) + IF(HS$24 &lt; Control!$H$18, -1, 0)))/ IF(HS$24 &lt; Control!$H$18, 1, HS$26))</f>
        <v>1.5531609809858404</v>
      </c>
      <c r="HT27" s="1173">
        <f>IF(HT$24=Control!$H$18, 1, PRODUCT(HT$26:INDEX($H$26:$NC$26, MATCH(Control!$H$18, $H$24:$NC$24, 0) + IF(HT$24 &lt; Control!$H$18, -1, 0)))/ IF(HT$24 &lt; Control!$H$18, 1, HT$26))</f>
        <v>1.5564285076461246</v>
      </c>
      <c r="HU27" s="1173">
        <f>IF(HU$24=Control!$H$18, 1, PRODUCT(HU$26:INDEX($H$26:$NC$26, MATCH(Control!$H$18, $H$24:$NC$24, 0) + IF(HU$24 &lt; Control!$H$18, -1, 0)))/ IF(HU$24 &lt; Control!$H$18, 1, HU$26))</f>
        <v>1.5597135203609358</v>
      </c>
      <c r="HV27" s="1173">
        <f>IF(HV$24=Control!$H$18, 1, PRODUCT(HV$26:INDEX($H$26:$NC$26, MATCH(Control!$H$18, $H$24:$NC$24, 0) + IF(HV$24 &lt; Control!$H$18, -1, 0)))/ IF(HV$24 &lt; Control!$H$18, 1, HV$26))</f>
        <v>1.5630054664546229</v>
      </c>
      <c r="HW27" s="1173">
        <f>IF(HW$24=Control!$H$18, 1, PRODUCT(HW$26:INDEX($H$26:$NC$26, MATCH(Control!$H$18, $H$24:$NC$24, 0) + IF(HW$24 &lt; Control!$H$18, -1, 0)))/ IF(HW$24 &lt; Control!$H$18, 1, HW$26))</f>
        <v>1.5663043605608407</v>
      </c>
      <c r="HX27" s="1173">
        <f>IF(HX$24=Control!$H$18, 1, PRODUCT(HX$26:INDEX($H$26:$NC$26, MATCH(Control!$H$18, $H$24:$NC$24, 0) + IF(HX$24 &lt; Control!$H$18, -1, 0)))/ IF(HX$24 &lt; Control!$H$18, 1, HX$26))</f>
        <v>1.56961021734413</v>
      </c>
      <c r="HY27" s="1173">
        <f>IF(HY$24=Control!$H$18, 1, PRODUCT(HY$26:INDEX($H$26:$NC$26, MATCH(Control!$H$18, $H$24:$NC$24, 0) + IF(HY$24 &lt; Control!$H$18, -1, 0)))/ IF(HY$24 &lt; Control!$H$18, 1, HY$26))</f>
        <v>1.5729230514999828</v>
      </c>
      <c r="HZ27" s="1173">
        <f>IF(HZ$24=Control!$H$18, 1, PRODUCT(HZ$26:INDEX($H$26:$NC$26, MATCH(Control!$H$18, $H$24:$NC$24, 0) + IF(HZ$24 &lt; Control!$H$18, -1, 0)))/ IF(HZ$24 &lt; Control!$H$18, 1, HZ$26))</f>
        <v>1.5762428777549078</v>
      </c>
      <c r="IA27" s="1173">
        <f>IF(IA$24=Control!$H$18, 1, PRODUCT(IA$26:INDEX($H$26:$NC$26, MATCH(Control!$H$18, $H$24:$NC$24, 0) + IF(IA$24 &lt; Control!$H$18, -1, 0)))/ IF(IA$24 &lt; Control!$H$18, 1, IA$26))</f>
        <v>1.5795697108664952</v>
      </c>
      <c r="IB27" s="1173">
        <f>IF(IB$24=Control!$H$18, 1, PRODUCT(IB$26:INDEX($H$26:$NC$26, MATCH(Control!$H$18, $H$24:$NC$24, 0) + IF(IB$24 &lt; Control!$H$18, -1, 0)))/ IF(IB$24 &lt; Control!$H$18, 1, IB$26))</f>
        <v>1.5829035656234829</v>
      </c>
      <c r="IC27" s="1173">
        <f>IF(IC$24=Control!$H$18, 1, PRODUCT(IC$26:INDEX($H$26:$NC$26, MATCH(Control!$H$18, $H$24:$NC$24, 0) + IF(IC$24 &lt; Control!$H$18, -1, 0)))/ IF(IC$24 &lt; Control!$H$18, 1, IC$26))</f>
        <v>1.586244456845822</v>
      </c>
      <c r="ID27" s="1173">
        <f>IF(ID$24=Control!$H$18, 1, PRODUCT(ID$26:INDEX($H$26:$NC$26, MATCH(Control!$H$18, $H$24:$NC$24, 0) + IF(ID$24 &lt; Control!$H$18, -1, 0)))/ IF(ID$24 &lt; Control!$H$18, 1, ID$26))</f>
        <v>1.5895923993847427</v>
      </c>
      <c r="IE27" s="1173">
        <f>IF(IE$24=Control!$H$18, 1, PRODUCT(IE$26:INDEX($H$26:$NC$26, MATCH(Control!$H$18, $H$24:$NC$24, 0) + IF(IE$24 &lt; Control!$H$18, -1, 0)))/ IF(IE$24 &lt; Control!$H$18, 1, IE$26))</f>
        <v>1.5929474081228205</v>
      </c>
      <c r="IF27" s="1173">
        <f>IF(IF$24=Control!$H$18, 1, PRODUCT(IF$26:INDEX($H$26:$NC$26, MATCH(Control!$H$18, $H$24:$NC$24, 0) + IF(IF$24 &lt; Control!$H$18, -1, 0)))/ IF(IF$24 &lt; Control!$H$18, 1, IF$26))</f>
        <v>1.5963094979740422</v>
      </c>
      <c r="IG27" s="1173">
        <f>IF(IG$24=Control!$H$18, 1, PRODUCT(IG$26:INDEX($H$26:$NC$26, MATCH(Control!$H$18, $H$24:$NC$24, 0) + IF(IG$24 &lt; Control!$H$18, -1, 0)))/ IF(IG$24 &lt; Control!$H$18, 1, IG$26))</f>
        <v>1.5996888745411009</v>
      </c>
      <c r="IH27" s="1173">
        <f>IF(IH$24=Control!$H$18, 1, PRODUCT(IH$26:INDEX($H$26:$NC$26, MATCH(Control!$H$18, $H$24:$NC$24, 0) + IF(IH$24 &lt; Control!$H$18, -1, 0)))/ IF(IH$24 &lt; Control!$H$18, 1, IH$26))</f>
        <v>1.6030754052258269</v>
      </c>
      <c r="II27" s="1173">
        <f>IF(II$24=Control!$H$18, 1, PRODUCT(II$26:INDEX($H$26:$NC$26, MATCH(Control!$H$18, $H$24:$NC$24, 0) + IF(II$24 &lt; Control!$H$18, -1, 0)))/ IF(II$24 &lt; Control!$H$18, 1, II$26))</f>
        <v>1.6064691051734397</v>
      </c>
      <c r="IJ27" s="1173">
        <f>IF(IJ$24=Control!$H$18, 1, PRODUCT(IJ$26:INDEX($H$26:$NC$26, MATCH(Control!$H$18, $H$24:$NC$24, 0) + IF(IJ$24 &lt; Control!$H$18, -1, 0)))/ IF(IJ$24 &lt; Control!$H$18, 1, IJ$26))</f>
        <v>1.609869989561221</v>
      </c>
      <c r="IK27" s="1173">
        <f>IF(IK$24=Control!$H$18, 1, PRODUCT(IK$26:INDEX($H$26:$NC$26, MATCH(Control!$H$18, $H$24:$NC$24, 0) + IF(IK$24 &lt; Control!$H$18, -1, 0)))/ IF(IK$24 &lt; Control!$H$18, 1, IK$26))</f>
        <v>1.6132780735985826</v>
      </c>
      <c r="IL27" s="1173">
        <f>IF(IL$24=Control!$H$18, 1, PRODUCT(IL$26:INDEX($H$26:$NC$26, MATCH(Control!$H$18, $H$24:$NC$24, 0) + IF(IL$24 &lt; Control!$H$18, -1, 0)))/ IF(IL$24 &lt; Control!$H$18, 1, IL$26))</f>
        <v>1.6166933725271349</v>
      </c>
      <c r="IM27" s="1173">
        <f>IF(IM$24=Control!$H$18, 1, PRODUCT(IM$26:INDEX($H$26:$NC$26, MATCH(Control!$H$18, $H$24:$NC$24, 0) + IF(IM$24 &lt; Control!$H$18, -1, 0)))/ IF(IM$24 &lt; Control!$H$18, 1, IM$26))</f>
        <v>1.6201159016207543</v>
      </c>
      <c r="IN27" s="1173">
        <f>IF(IN$24=Control!$H$18, 1, PRODUCT(IN$26:INDEX($H$26:$NC$26, MATCH(Control!$H$18, $H$24:$NC$24, 0) + IF(IN$24 &lt; Control!$H$18, -1, 0)))/ IF(IN$24 &lt; Control!$H$18, 1, IN$26))</f>
        <v>1.6235456761856522</v>
      </c>
      <c r="IO27" s="1173">
        <f>IF(IO$24=Control!$H$18, 1, PRODUCT(IO$26:INDEX($H$26:$NC$26, MATCH(Control!$H$18, $H$24:$NC$24, 0) + IF(IO$24 &lt; Control!$H$18, -1, 0)))/ IF(IO$24 &lt; Control!$H$18, 1, IO$26))</f>
        <v>1.6269827115604429</v>
      </c>
      <c r="IP27" s="1173">
        <f>IF(IP$24=Control!$H$18, 1, PRODUCT(IP$26:INDEX($H$26:$NC$26, MATCH(Control!$H$18, $H$24:$NC$24, 0) + IF(IP$24 &lt; Control!$H$18, -1, 0)))/ IF(IP$24 &lt; Control!$H$18, 1, IP$26))</f>
        <v>1.6304270231162126</v>
      </c>
      <c r="IQ27" s="1173">
        <f>IF(IQ$24=Control!$H$18, 1, PRODUCT(IQ$26:INDEX($H$26:$NC$26, MATCH(Control!$H$18, $H$24:$NC$24, 0) + IF(IQ$24 &lt; Control!$H$18, -1, 0)))/ IF(IQ$24 &lt; Control!$H$18, 1, IQ$26))</f>
        <v>1.6338786262565879</v>
      </c>
      <c r="IR27" s="1173">
        <f>IF(IR$24=Control!$H$18, 1, PRODUCT(IR$26:INDEX($H$26:$NC$26, MATCH(Control!$H$18, $H$24:$NC$24, 0) + IF(IR$24 &lt; Control!$H$18, -1, 0)))/ IF(IR$24 &lt; Control!$H$18, 1, IR$26))</f>
        <v>1.6373375364178047</v>
      </c>
      <c r="IS27" s="1173">
        <f>IF(IS$24=Control!$H$18, 1, PRODUCT(IS$26:INDEX($H$26:$NC$26, MATCH(Control!$H$18, $H$24:$NC$24, 0) + IF(IS$24 &lt; Control!$H$18, -1, 0)))/ IF(IS$24 &lt; Control!$H$18, 1, IS$26))</f>
        <v>1.6408135483830917</v>
      </c>
      <c r="IT27" s="1173">
        <f>IF(IT$24=Control!$H$18, 1, PRODUCT(IT$26:INDEX($H$26:$NC$26, MATCH(Control!$H$18, $H$24:$NC$24, 0) + IF(IT$24 &lt; Control!$H$18, -1, 0)))/ IF(IT$24 &lt; Control!$H$18, 1, IT$26))</f>
        <v>1.644296939803692</v>
      </c>
      <c r="IU27" s="1173">
        <f>IF(IU$24=Control!$H$18, 1, PRODUCT(IU$26:INDEX($H$26:$NC$26, MATCH(Control!$H$18, $H$24:$NC$24, 0) + IF(IU$24 &lt; Control!$H$18, -1, 0)))/ IF(IU$24 &lt; Control!$H$18, 1, IU$26))</f>
        <v>1.6477877263459384</v>
      </c>
      <c r="IV27" s="1173">
        <f>IF(IV$24=Control!$H$18, 1, PRODUCT(IV$26:INDEX($H$26:$NC$26, MATCH(Control!$H$18, $H$24:$NC$24, 0) + IF(IV$24 &lt; Control!$H$18, -1, 0)))/ IF(IV$24 &lt; Control!$H$18, 1, IV$26))</f>
        <v>1.6512859237094233</v>
      </c>
      <c r="IW27" s="1173">
        <f>IF(IW$24=Control!$H$18, 1, PRODUCT(IW$26:INDEX($H$26:$NC$26, MATCH(Control!$H$18, $H$24:$NC$24, 0) + IF(IW$24 &lt; Control!$H$18, -1, 0)))/ IF(IW$24 &lt; Control!$H$18, 1, IW$26))</f>
        <v>1.654791547627068</v>
      </c>
      <c r="IX27" s="1173">
        <f>IF(IX$24=Control!$H$18, 1, PRODUCT(IX$26:INDEX($H$26:$NC$26, MATCH(Control!$H$18, $H$24:$NC$24, 0) + IF(IX$24 &lt; Control!$H$18, -1, 0)))/ IF(IX$24 &lt; Control!$H$18, 1, IX$26))</f>
        <v>1.6583046138651949</v>
      </c>
      <c r="IY27" s="1173">
        <f>IF(IY$24=Control!$H$18, 1, PRODUCT(IY$26:INDEX($H$26:$NC$26, MATCH(Control!$H$18, $H$24:$NC$24, 0) + IF(IY$24 &lt; Control!$H$18, -1, 0)))/ IF(IY$24 &lt; Control!$H$18, 1, IY$26))</f>
        <v>1.6618251382235976</v>
      </c>
      <c r="IZ27" s="1173">
        <f>IF(IZ$24=Control!$H$18, 1, PRODUCT(IZ$26:INDEX($H$26:$NC$26, MATCH(Control!$H$18, $H$24:$NC$24, 0) + IF(IZ$24 &lt; Control!$H$18, -1, 0)))/ IF(IZ$24 &lt; Control!$H$18, 1, IZ$26))</f>
        <v>1.665353136535612</v>
      </c>
      <c r="JA27" s="1173">
        <f>IF(JA$24=Control!$H$18, 1, PRODUCT(JA$26:INDEX($H$26:$NC$26, MATCH(Control!$H$18, $H$24:$NC$24, 0) + IF(JA$24 &lt; Control!$H$18, -1, 0)))/ IF(JA$24 &lt; Control!$H$18, 1, JA$26))</f>
        <v>1.6688886246681878</v>
      </c>
      <c r="JB27" s="1173">
        <f>IF(JB$24=Control!$H$18, 1, PRODUCT(JB$26:INDEX($H$26:$NC$26, MATCH(Control!$H$18, $H$24:$NC$24, 0) + IF(JB$24 &lt; Control!$H$18, -1, 0)))/ IF(JB$24 &lt; Control!$H$18, 1, JB$26))</f>
        <v>1.6724316185219594</v>
      </c>
      <c r="JC27" s="1173">
        <f>IF(JC$24=Control!$H$18, 1, PRODUCT(JC$26:INDEX($H$26:$NC$26, MATCH(Control!$H$18, $H$24:$NC$24, 0) + IF(JC$24 &lt; Control!$H$18, -1, 0)))/ IF(JC$24 &lt; Control!$H$18, 1, JC$26))</f>
        <v>1.6759821340313181</v>
      </c>
      <c r="JD27" s="1173">
        <f>IF(JD$24=Control!$H$18, 1, PRODUCT(JD$26:INDEX($H$26:$NC$26, MATCH(Control!$H$18, $H$24:$NC$24, 0) + IF(JD$24 &lt; Control!$H$18, -1, 0)))/ IF(JD$24 &lt; Control!$H$18, 1, JD$26))</f>
        <v>1.6795401871644831</v>
      </c>
      <c r="JE27" s="1173">
        <f>IF(JE$24=Control!$H$18, 1, PRODUCT(JE$26:INDEX($H$26:$NC$26, MATCH(Control!$H$18, $H$24:$NC$24, 0) + IF(JE$24 &lt; Control!$H$18, -1, 0)))/ IF(JE$24 &lt; Control!$H$18, 1, JE$26))</f>
        <v>1.6831151859569544</v>
      </c>
      <c r="JF27" s="1173">
        <f>IF(JF$24=Control!$H$18, 1, PRODUCT(JF$26:INDEX($H$26:$NC$26, MATCH(Control!$H$18, $H$24:$NC$24, 0) + IF(JF$24 &lt; Control!$H$18, -1, 0)))/ IF(JF$24 &lt; Control!$H$18, 1, JF$26))</f>
        <v>1.6866977943418986</v>
      </c>
      <c r="JG27" s="1173">
        <f>IF(JG$24=Control!$H$18, 1, PRODUCT(JG$26:INDEX($H$26:$NC$26, MATCH(Control!$H$18, $H$24:$NC$24, 0) + IF(JG$24 &lt; Control!$H$18, -1, 0)))/ IF(JG$24 &lt; Control!$H$18, 1, JG$26))</f>
        <v>1.690288028516775</v>
      </c>
      <c r="JH27" s="1173">
        <f>IF(JH$24=Control!$H$18, 1, PRODUCT(JH$26:INDEX($H$26:$NC$26, MATCH(Control!$H$18, $H$24:$NC$24, 0) + IF(JH$24 &lt; Control!$H$18, -1, 0)))/ IF(JH$24 &lt; Control!$H$18, 1, JH$26))</f>
        <v>1.6938859047135202</v>
      </c>
      <c r="JI27" s="1173">
        <f>IF(JI$24=Control!$H$18, 1, PRODUCT(JI$26:INDEX($H$26:$NC$26, MATCH(Control!$H$18, $H$24:$NC$24, 0) + IF(JI$24 &lt; Control!$H$18, -1, 0)))/ IF(JI$24 &lt; Control!$H$18, 1, JI$26))</f>
        <v>1.6974914391986216</v>
      </c>
      <c r="JJ27" s="1173">
        <f>IF(JJ$24=Control!$H$18, 1, PRODUCT(JJ$26:INDEX($H$26:$NC$26, MATCH(Control!$H$18, $H$24:$NC$24, 0) + IF(JJ$24 &lt; Control!$H$18, -1, 0)))/ IF(JJ$24 &lt; Control!$H$18, 1, JJ$26))</f>
        <v>1.7011046482731902</v>
      </c>
      <c r="JK27" s="1173">
        <f>IF(JK$24=Control!$H$18, 1, PRODUCT(JK$26:INDEX($H$26:$NC$26, MATCH(Control!$H$18, $H$24:$NC$24, 0) + IF(JK$24 &lt; Control!$H$18, -1, 0)))/ IF(JK$24 &lt; Control!$H$18, 1, JK$26))</f>
        <v>1.7047255482730355</v>
      </c>
      <c r="JL27" s="1173">
        <f>IF(JL$24=Control!$H$18, 1, PRODUCT(JL$26:INDEX($H$26:$NC$26, MATCH(Control!$H$18, $H$24:$NC$24, 0) + IF(JL$24 &lt; Control!$H$18, -1, 0)))/ IF(JL$24 &lt; Control!$H$18, 1, JL$26))</f>
        <v>1.7083541555687383</v>
      </c>
      <c r="JM27" s="1173">
        <f>IF(JM$24=Control!$H$18, 1, PRODUCT(JM$26:INDEX($H$26:$NC$26, MATCH(Control!$H$18, $H$24:$NC$24, 0) + IF(JM$24 &lt; Control!$H$18, -1, 0)))/ IF(JM$24 &lt; Control!$H$18, 1, JM$26))</f>
        <v>1.7119904865657254</v>
      </c>
      <c r="JN27" s="1173">
        <f>IF(JN$24=Control!$H$18, 1, PRODUCT(JN$26:INDEX($H$26:$NC$26, MATCH(Control!$H$18, $H$24:$NC$24, 0) + IF(JN$24 &lt; Control!$H$18, -1, 0)))/ IF(JN$24 &lt; Control!$H$18, 1, JN$26))</f>
        <v>1.7156345577043433</v>
      </c>
      <c r="JO27" s="1173">
        <f>IF(JO$24=Control!$H$18, 1, PRODUCT(JO$26:INDEX($H$26:$NC$26, MATCH(Control!$H$18, $H$24:$NC$24, 0) + IF(JO$24 &lt; Control!$H$18, -1, 0)))/ IF(JO$24 &lt; Control!$H$18, 1, JO$26))</f>
        <v>1.7192863854599327</v>
      </c>
      <c r="JP27" s="1173">
        <f>IF(JP$24=Control!$H$18, 1, PRODUCT(JP$26:INDEX($H$26:$NC$26, MATCH(Control!$H$18, $H$24:$NC$24, 0) + IF(JP$24 &lt; Control!$H$18, -1, 0)))/ IF(JP$24 &lt; Control!$H$18, 1, JP$26))</f>
        <v>1.7229459863429033</v>
      </c>
      <c r="JQ27" s="1173">
        <f>IF(JQ$24=Control!$H$18, 1, PRODUCT(JQ$26:INDEX($H$26:$NC$26, MATCH(Control!$H$18, $H$24:$NC$24, 0) + IF(JQ$24 &lt; Control!$H$18, -1, 0)))/ IF(JQ$24 &lt; Control!$H$18, 1, JQ$26))</f>
        <v>1.7266223951940223</v>
      </c>
      <c r="JR27" s="1173">
        <f>IF(JR$24=Control!$H$18, 1, PRODUCT(JR$26:INDEX($H$26:$NC$26, MATCH(Control!$H$18, $H$24:$NC$24, 0) + IF(JR$24 &lt; Control!$H$18, -1, 0)))/ IF(JR$24 &lt; Control!$H$18, 1, JR$26))</f>
        <v>1.7303066487379801</v>
      </c>
      <c r="JS27" s="1173">
        <f>IF(JS$24=Control!$H$18, 1, PRODUCT(JS$26:INDEX($H$26:$NC$26, MATCH(Control!$H$18, $H$24:$NC$24, 0) + IF(JS$24 &lt; Control!$H$18, -1, 0)))/ IF(JS$24 &lt; Control!$H$18, 1, JS$26))</f>
        <v>1.7339987637137217</v>
      </c>
      <c r="JT27" s="1173">
        <f>IF(JT$24=Control!$H$18, 1, PRODUCT(JT$26:INDEX($H$26:$NC$26, MATCH(Control!$H$18, $H$24:$NC$24, 0) + IF(JT$24 &lt; Control!$H$18, -1, 0)))/ IF(JT$24 &lt; Control!$H$18, 1, JT$26))</f>
        <v>1.7376987568959095</v>
      </c>
      <c r="JU27" s="1173">
        <f>IF(JU$24=Control!$H$18, 1, PRODUCT(JU$26:INDEX($H$26:$NC$26, MATCH(Control!$H$18, $H$24:$NC$24, 0) + IF(JU$24 &lt; Control!$H$18, -1, 0)))/ IF(JU$24 &lt; Control!$H$18, 1, JU$26))</f>
        <v>1.7414066450949997</v>
      </c>
      <c r="JV27" s="1173">
        <f>IF(JV$24=Control!$H$18, 1, PRODUCT(JV$26:INDEX($H$26:$NC$26, MATCH(Control!$H$18, $H$24:$NC$24, 0) + IF(JV$24 &lt; Control!$H$18, -1, 0)))/ IF(JV$24 &lt; Control!$H$18, 1, JV$26))</f>
        <v>1.7451224451573184</v>
      </c>
      <c r="JW27" s="1173">
        <f>IF(JW$24=Control!$H$18, 1, PRODUCT(JW$26:INDEX($H$26:$NC$26, MATCH(Control!$H$18, $H$24:$NC$24, 0) + IF(JW$24 &lt; Control!$H$18, -1, 0)))/ IF(JW$24 &lt; Control!$H$18, 1, JW$26))</f>
        <v>1.7488461739651384</v>
      </c>
      <c r="JX27" s="1173">
        <f>IF(JX$24=Control!$H$18, 1, PRODUCT(JX$26:INDEX($H$26:$NC$26, MATCH(Control!$H$18, $H$24:$NC$24, 0) + IF(JX$24 &lt; Control!$H$18, -1, 0)))/ IF(JX$24 &lt; Control!$H$18, 1, JX$26))</f>
        <v>1.7525778484367556</v>
      </c>
      <c r="JY27" s="1173">
        <f>IF(JY$24=Control!$H$18, 1, PRODUCT(JY$26:INDEX($H$26:$NC$26, MATCH(Control!$H$18, $H$24:$NC$24, 0) + IF(JY$24 &lt; Control!$H$18, -1, 0)))/ IF(JY$24 &lt; Control!$H$18, 1, JY$26))</f>
        <v>1.756317485526566</v>
      </c>
      <c r="JZ27" s="1173">
        <f>IF(JZ$24=Control!$H$18, 1, PRODUCT(JZ$26:INDEX($H$26:$NC$26, MATCH(Control!$H$18, $H$24:$NC$24, 0) + IF(JZ$24 &lt; Control!$H$18, -1, 0)))/ IF(JZ$24 &lt; Control!$H$18, 1, JZ$26))</f>
        <v>1.760065102225143</v>
      </c>
      <c r="KA27" s="1173">
        <f>IF(KA$24=Control!$H$18, 1, PRODUCT(KA$26:INDEX($H$26:$NC$26, MATCH(Control!$H$18, $H$24:$NC$24, 0) + IF(KA$24 &lt; Control!$H$18, -1, 0)))/ IF(KA$24 &lt; Control!$H$18, 1, KA$26))</f>
        <v>1.7638207155593142</v>
      </c>
      <c r="KB27" s="1173">
        <f>IF(KB$24=Control!$H$18, 1, PRODUCT(KB$26:INDEX($H$26:$NC$26, MATCH(Control!$H$18, $H$24:$NC$24, 0) + IF(KB$24 &lt; Control!$H$18, -1, 0)))/ IF(KB$24 &lt; Control!$H$18, 1, KB$26))</f>
        <v>1.7675843425922388</v>
      </c>
      <c r="KC27" s="1173">
        <f>IF(KC$24=Control!$H$18, 1, PRODUCT(KC$26:INDEX($H$26:$NC$26, MATCH(Control!$H$18, $H$24:$NC$24, 0) + IF(KC$24 &lt; Control!$H$18, -1, 0)))/ IF(KC$24 &lt; Control!$H$18, 1, KC$26))</f>
        <v>1.771364662416353</v>
      </c>
      <c r="KD27" s="1173">
        <f>IF(KD$24=Control!$H$18, 1, PRODUCT(KD$26:INDEX($H$26:$NC$26, MATCH(Control!$H$18, $H$24:$NC$24, 0) + IF(KD$24 &lt; Control!$H$18, -1, 0)))/ IF(KD$24 &lt; Control!$H$18, 1, KD$26))</f>
        <v>1.7751530671830797</v>
      </c>
      <c r="KE27" s="1173">
        <f>IF(KE$24=Control!$H$18, 1, PRODUCT(KE$26:INDEX($H$26:$NC$26, MATCH(Control!$H$18, $H$24:$NC$24, 0) + IF(KE$24 &lt; Control!$H$18, -1, 0)))/ IF(KE$24 &lt; Control!$H$18, 1, KE$26))</f>
        <v>1.7789495741836272</v>
      </c>
      <c r="KF27" s="1173">
        <f>IF(KF$24=Control!$H$18, 1, PRODUCT(KF$26:INDEX($H$26:$NC$26, MATCH(Control!$H$18, $H$24:$NC$24, 0) + IF(KF$24 &lt; Control!$H$18, -1, 0)))/ IF(KF$24 &lt; Control!$H$18, 1, KF$26))</f>
        <v>1.7827542007461841</v>
      </c>
      <c r="KG27" s="1173">
        <f>IF(KG$24=Control!$H$18, 1, PRODUCT(KG$26:INDEX($H$26:$NC$26, MATCH(Control!$H$18, $H$24:$NC$24, 0) + IF(KG$24 &lt; Control!$H$18, -1, 0)))/ IF(KG$24 &lt; Control!$H$18, 1, KG$26))</f>
        <v>1.7865669642359987</v>
      </c>
      <c r="KH27" s="1173">
        <f>IF(KH$24=Control!$H$18, 1, PRODUCT(KH$26:INDEX($H$26:$NC$26, MATCH(Control!$H$18, $H$24:$NC$24, 0) + IF(KH$24 &lt; Control!$H$18, -1, 0)))/ IF(KH$24 &lt; Control!$H$18, 1, KH$26))</f>
        <v>1.7903878820554586</v>
      </c>
      <c r="KI27" s="1173">
        <f>IF(KI$24=Control!$H$18, 1, PRODUCT(KI$26:INDEX($H$26:$NC$26, MATCH(Control!$H$18, $H$24:$NC$24, 0) + IF(KI$24 &lt; Control!$H$18, -1, 0)))/ IF(KI$24 &lt; Control!$H$18, 1, KI$26))</f>
        <v>1.7942169716441694</v>
      </c>
      <c r="KJ27" s="1173">
        <f>IF(KJ$24=Control!$H$18, 1, PRODUCT(KJ$26:INDEX($H$26:$NC$26, MATCH(Control!$H$18, $H$24:$NC$24, 0) + IF(KJ$24 &lt; Control!$H$18, -1, 0)))/ IF(KJ$24 &lt; Control!$H$18, 1, KJ$26))</f>
        <v>1.7980542504790349</v>
      </c>
      <c r="KK27" s="1173">
        <f>IF(KK$24=Control!$H$18, 1, PRODUCT(KK$26:INDEX($H$26:$NC$26, MATCH(Control!$H$18, $H$24:$NC$24, 0) + IF(KK$24 &lt; Control!$H$18, -1, 0)))/ IF(KK$24 &lt; Control!$H$18, 1, KK$26))</f>
        <v>1.8018997360743363</v>
      </c>
      <c r="KL27" s="1173">
        <f>IF(KL$24=Control!$H$18, 1, PRODUCT(KL$26:INDEX($H$26:$NC$26, MATCH(Control!$H$18, $H$24:$NC$24, 0) + IF(KL$24 &lt; Control!$H$18, -1, 0)))/ IF(KL$24 &lt; Control!$H$18, 1, KL$26))</f>
        <v>1.8057534459818128</v>
      </c>
      <c r="KM27" s="1173">
        <f>IF(KM$24=Control!$H$18, 1, PRODUCT(KM$26:INDEX($H$26:$NC$26, MATCH(Control!$H$18, $H$24:$NC$24, 0) + IF(KM$24 &lt; Control!$H$18, -1, 0)))/ IF(KM$24 &lt; Control!$H$18, 1, KM$26))</f>
        <v>1.8096153977907412</v>
      </c>
      <c r="KN27" s="1173">
        <f>IF(KN$24=Control!$H$18, 1, PRODUCT(KN$26:INDEX($H$26:$NC$26, MATCH(Control!$H$18, $H$24:$NC$24, 0) + IF(KN$24 &lt; Control!$H$18, -1, 0)))/ IF(KN$24 &lt; Control!$H$18, 1, KN$26))</f>
        <v>1.8134856091280165</v>
      </c>
      <c r="KO27" s="1173">
        <f>IF(KO$24=Control!$H$18, 1, PRODUCT(KO$26:INDEX($H$26:$NC$26, MATCH(Control!$H$18, $H$24:$NC$24, 0) + IF(KO$24 &lt; Control!$H$18, -1, 0)))/ IF(KO$24 &lt; Control!$H$18, 1, KO$26))</f>
        <v>1.817372411828251</v>
      </c>
      <c r="KP27" s="1173">
        <f>IF(KP$24=Control!$H$18, 1, PRODUCT(KP$26:INDEX($H$26:$NC$26, MATCH(Control!$H$18, $H$24:$NC$24, 0) + IF(KP$24 &lt; Control!$H$18, -1, 0)))/ IF(KP$24 &lt; Control!$H$18, 1, KP$26))</f>
        <v>1.8212675450248261</v>
      </c>
      <c r="KQ27" s="1173">
        <f>IF(KQ$24=Control!$H$18, 1, PRODUCT(KQ$26:INDEX($H$26:$NC$26, MATCH(Control!$H$18, $H$24:$NC$24, 0) + IF(KQ$24 &lt; Control!$H$18, -1, 0)))/ IF(KQ$24 &lt; Control!$H$18, 1, KQ$26))</f>
        <v>1.8251710265723062</v>
      </c>
      <c r="KR27" s="1173">
        <f>IF(KR$24=Control!$H$18, 1, PRODUCT(KR$26:INDEX($H$26:$NC$26, MATCH(Control!$H$18, $H$24:$NC$24, 0) + IF(KR$24 &lt; Control!$H$18, -1, 0)))/ IF(KR$24 &lt; Control!$H$18, 1, KR$26))</f>
        <v>1.8290828743635232</v>
      </c>
      <c r="KS27" s="1173">
        <f>IF(KS$24=Control!$H$18, 1, PRODUCT(KS$26:INDEX($H$26:$NC$26, MATCH(Control!$H$18, $H$24:$NC$24, 0) + IF(KS$24 &lt; Control!$H$18, -1, 0)))/ IF(KS$24 &lt; Control!$H$18, 1, KS$26))</f>
        <v>1.8330031063296579</v>
      </c>
      <c r="KT27" s="1173">
        <f>IF(KT$24=Control!$H$18, 1, PRODUCT(KT$26:INDEX($H$26:$NC$26, MATCH(Control!$H$18, $H$24:$NC$24, 0) + IF(KT$24 &lt; Control!$H$18, -1, 0)))/ IF(KT$24 &lt; Control!$H$18, 1, KT$26))</f>
        <v>1.8369317404403229</v>
      </c>
      <c r="KU27" s="1173">
        <f>IF(KU$24=Control!$H$18, 1, PRODUCT(KU$26:INDEX($H$26:$NC$26, MATCH(Control!$H$18, $H$24:$NC$24, 0) + IF(KU$24 &lt; Control!$H$18, -1, 0)))/ IF(KU$24 &lt; Control!$H$18, 1, KU$26))</f>
        <v>1.8408687947036446</v>
      </c>
      <c r="KV27" s="1173">
        <f>IF(KV$24=Control!$H$18, 1, PRODUCT(KV$26:INDEX($H$26:$NC$26, MATCH(Control!$H$18, $H$24:$NC$24, 0) + IF(KV$24 &lt; Control!$H$18, -1, 0)))/ IF(KV$24 &lt; Control!$H$18, 1, KV$26))</f>
        <v>1.8448142871663458</v>
      </c>
      <c r="KW27" s="1173">
        <f>IF(KW$24=Control!$H$18, 1, PRODUCT(KW$26:INDEX($H$26:$NC$26, MATCH(Control!$H$18, $H$24:$NC$24, 0) + IF(KW$24 &lt; Control!$H$18, -1, 0)))/ IF(KW$24 &lt; Control!$H$18, 1, KW$26))</f>
        <v>1.8487682359138284</v>
      </c>
      <c r="KX27" s="1173">
        <f>IF(KX$24=Control!$H$18, 1, PRODUCT(KX$26:INDEX($H$26:$NC$26, MATCH(Control!$H$18, $H$24:$NC$24, 0) + IF(KX$24 &lt; Control!$H$18, -1, 0)))/ IF(KX$24 &lt; Control!$H$18, 1, KX$26))</f>
        <v>1.8527306590702564</v>
      </c>
      <c r="KY27" s="1173">
        <f>IF(KY$24=Control!$H$18, 1, PRODUCT(KY$26:INDEX($H$26:$NC$26, MATCH(Control!$H$18, $H$24:$NC$24, 0) + IF(KY$24 &lt; Control!$H$18, -1, 0)))/ IF(KY$24 &lt; Control!$H$18, 1, KY$26))</f>
        <v>1.8567015747986388</v>
      </c>
      <c r="KZ27" s="1173">
        <f>IF(KZ$24=Control!$H$18, 1, PRODUCT(KZ$26:INDEX($H$26:$NC$26, MATCH(Control!$H$18, $H$24:$NC$24, 0) + IF(KZ$24 &lt; Control!$H$18, -1, 0)))/ IF(KZ$24 &lt; Control!$H$18, 1, KZ$26))</f>
        <v>1.8606810013009132</v>
      </c>
      <c r="LA27" s="1173">
        <f>IF(LA$24=Control!$H$18, 1, PRODUCT(LA$26:INDEX($H$26:$NC$26, MATCH(Control!$H$18, $H$24:$NC$24, 0) + IF(LA$24 &lt; Control!$H$18, -1, 0)))/ IF(LA$24 &lt; Control!$H$18, 1, LA$26))</f>
        <v>1.8646769435392925</v>
      </c>
      <c r="LB27" s="1173">
        <f>IF(LB$24=Control!$H$18, 1, PRODUCT(LB$26:INDEX($H$26:$NC$26, MATCH(Control!$H$18, $H$24:$NC$24, 0) + IF(LB$24 &lt; Control!$H$18, -1, 0)))/ IF(LB$24 &lt; Control!$H$18, 1, LB$26))</f>
        <v>1.8686814673423577</v>
      </c>
      <c r="LC27" s="1173">
        <f>IF(LC$24=Control!$H$18, 1, PRODUCT(LC$26:INDEX($H$26:$NC$26, MATCH(Control!$H$18, $H$24:$NC$24, 0) + IF(LC$24 &lt; Control!$H$18, -1, 0)))/ IF(LC$24 &lt; Control!$H$18, 1, LC$26))</f>
        <v>1.8726945911396176</v>
      </c>
      <c r="LD27" s="1173">
        <f>IF(LD$24=Control!$H$18, 1, PRODUCT(LD$26:INDEX($H$26:$NC$26, MATCH(Control!$H$18, $H$24:$NC$24, 0) + IF(LD$24 &lt; Control!$H$18, -1, 0)))/ IF(LD$24 &lt; Control!$H$18, 1, LD$26))</f>
        <v>1.8767163334001595</v>
      </c>
      <c r="LE27" s="1173">
        <f>IF(LE$24=Control!$H$18, 1, PRODUCT(LE$26:INDEX($H$26:$NC$26, MATCH(Control!$H$18, $H$24:$NC$24, 0) + IF(LE$24 &lt; Control!$H$18, -1, 0)))/ IF(LE$24 &lt; Control!$H$18, 1, LE$26))</f>
        <v>1.8807467126327346</v>
      </c>
      <c r="LF27" s="1173">
        <f>IF(LF$24=Control!$H$18, 1, PRODUCT(LF$26:INDEX($H$26:$NC$26, MATCH(Control!$H$18, $H$24:$NC$24, 0) + IF(LF$24 &lt; Control!$H$18, -1, 0)))/ IF(LF$24 &lt; Control!$H$18, 1, LF$26))</f>
        <v>1.8847857473858427</v>
      </c>
      <c r="LG27" s="1173">
        <f>IF(LG$24=Control!$H$18, 1, PRODUCT(LG$26:INDEX($H$26:$NC$26, MATCH(Control!$H$18, $H$24:$NC$24, 0) + IF(LG$24 &lt; Control!$H$18, -1, 0)))/ IF(LG$24 &lt; Control!$H$18, 1, LG$26))</f>
        <v>1.8888334562478177</v>
      </c>
      <c r="LH27" s="1173">
        <f>IF(LH$24=Control!$H$18, 1, PRODUCT(LH$26:INDEX($H$26:$NC$26, MATCH(Control!$H$18, $H$24:$NC$24, 0) + IF(LH$24 &lt; Control!$H$18, -1, 0)))/ IF(LH$24 &lt; Control!$H$18, 1, LH$26))</f>
        <v>1.8928898578469138</v>
      </c>
      <c r="LI27" s="1173">
        <f>IF(LI$24=Control!$H$18, 1, PRODUCT(LI$26:INDEX($H$26:$NC$26, MATCH(Control!$H$18, $H$24:$NC$24, 0) + IF(LI$24 &lt; Control!$H$18, -1, 0)))/ IF(LI$24 &lt; Control!$H$18, 1, LI$26))</f>
        <v>1.89695497085139</v>
      </c>
      <c r="LJ27" s="1173">
        <f>IF(LJ$24=Control!$H$18, 1, PRODUCT(LJ$26:INDEX($H$26:$NC$26, MATCH(Control!$H$18, $H$24:$NC$24, 0) + IF(LJ$24 &lt; Control!$H$18, -1, 0)))/ IF(LJ$24 &lt; Control!$H$18, 1, LJ$26))</f>
        <v>1.9010288139695972</v>
      </c>
      <c r="LK27" s="1173">
        <f>IF(LK$24=Control!$H$18, 1, PRODUCT(LK$26:INDEX($H$26:$NC$26, MATCH(Control!$H$18, $H$24:$NC$24, 0) + IF(LK$24 &lt; Control!$H$18, -1, 0)))/ IF(LK$24 &lt; Control!$H$18, 1, LK$26))</f>
        <v>1.9051114059500636</v>
      </c>
      <c r="LL27" s="1173">
        <f>IF(LL$24=Control!$H$18, 1, PRODUCT(LL$26:INDEX($H$26:$NC$26, MATCH(Control!$H$18, $H$24:$NC$24, 0) + IF(LL$24 &lt; Control!$H$18, -1, 0)))/ IF(LL$24 &lt; Control!$H$18, 1, LL$26))</f>
        <v>1.9092027655815811</v>
      </c>
      <c r="LM27" s="1173">
        <f>IF(LM$24=Control!$H$18, 1, PRODUCT(LM$26:INDEX($H$26:$NC$26, MATCH(Control!$H$18, $H$24:$NC$24, 0) + IF(LM$24 &lt; Control!$H$18, -1, 0)))/ IF(LM$24 &lt; Control!$H$18, 1, LM$26))</f>
        <v>1.9133105823177805</v>
      </c>
      <c r="LN27" s="1173">
        <f>IF(LN$24=Control!$H$18, 1, PRODUCT(LN$26:INDEX($H$26:$NC$26, MATCH(Control!$H$18, $H$24:$NC$24, 0) + IF(LN$24 &lt; Control!$H$18, -1, 0)))/ IF(LN$24 &lt; Control!$H$18, 1, LN$26))</f>
        <v>1.9174272373809729</v>
      </c>
      <c r="LO27" s="1173">
        <f>IF(LO$24=Control!$H$18, 1, PRODUCT(LO$26:INDEX($H$26:$NC$26, MATCH(Control!$H$18, $H$24:$NC$24, 0) + IF(LO$24 &lt; Control!$H$18, -1, 0)))/ IF(LO$24 &lt; Control!$H$18, 1, LO$26))</f>
        <v>1.9215527497875917</v>
      </c>
      <c r="LP27" s="1173">
        <f>IF(LP$24=Control!$H$18, 1, PRODUCT(LP$26:INDEX($H$26:$NC$26, MATCH(Control!$H$18, $H$24:$NC$24, 0) + IF(LP$24 &lt; Control!$H$18, -1, 0)))/ IF(LP$24 &lt; Control!$H$18, 1, LP$26))</f>
        <v>1.9256871385949863</v>
      </c>
      <c r="LQ27" s="1173">
        <f>IF(LQ$24=Control!$H$18, 1, PRODUCT(LQ$26:INDEX($H$26:$NC$26, MATCH(Control!$H$18, $H$24:$NC$24, 0) + IF(LQ$24 &lt; Control!$H$18, -1, 0)))/ IF(LQ$24 &lt; Control!$H$18, 1, LQ$26))</f>
        <v>1.9298304229015091</v>
      </c>
      <c r="LR27" s="1173">
        <f>IF(LR$24=Control!$H$18, 1, PRODUCT(LR$26:INDEX($H$26:$NC$26, MATCH(Control!$H$18, $H$24:$NC$24, 0) + IF(LR$24 &lt; Control!$H$18, -1, 0)))/ IF(LR$24 &lt; Control!$H$18, 1, LR$26))</f>
        <v>1.9339826218466047</v>
      </c>
      <c r="LS27" s="1173">
        <f>IF(LS$24=Control!$H$18, 1, PRODUCT(LS$26:INDEX($H$26:$NC$26, MATCH(Control!$H$18, $H$24:$NC$24, 0) + IF(LS$24 &lt; Control!$H$18, -1, 0)))/ IF(LS$24 &lt; Control!$H$18, 1, LS$26))</f>
        <v>1.9381437546108977</v>
      </c>
      <c r="LT27" s="1173">
        <f>IF(LT$24=Control!$H$18, 1, PRODUCT(LT$26:INDEX($H$26:$NC$26, MATCH(Control!$H$18, $H$24:$NC$24, 0) + IF(LT$24 &lt; Control!$H$18, -1, 0)))/ IF(LT$24 &lt; Control!$H$18, 1, LT$26))</f>
        <v>1.9423138404162812</v>
      </c>
      <c r="LU27" s="1173">
        <f>IF(LU$24=Control!$H$18, 1, PRODUCT(LU$26:INDEX($H$26:$NC$26, MATCH(Control!$H$18, $H$24:$NC$24, 0) + IF(LU$24 &lt; Control!$H$18, -1, 0)))/ IF(LU$24 &lt; Control!$H$18, 1, LU$26))</f>
        <v>1.9464928985260064</v>
      </c>
      <c r="LV27" s="1173">
        <f>IF(LV$24=Control!$H$18, 1, PRODUCT(LV$26:INDEX($H$26:$NC$26, MATCH(Control!$H$18, $H$24:$NC$24, 0) + IF(LV$24 &lt; Control!$H$18, -1, 0)))/ IF(LV$24 &lt; Control!$H$18, 1, LV$26))</f>
        <v>1.9506809482447709</v>
      </c>
      <c r="LW27" s="1173">
        <f>IF(LW$24=Control!$H$18, 1, PRODUCT(LW$26:INDEX($H$26:$NC$26, MATCH(Control!$H$18, $H$24:$NC$24, 0) + IF(LW$24 &lt; Control!$H$18, -1, 0)))/ IF(LW$24 &lt; Control!$H$18, 1, LW$26))</f>
        <v>1.9548780089188078</v>
      </c>
      <c r="LX27" s="1173">
        <f>IF(LX$24=Control!$H$18, 1, PRODUCT(LX$26:INDEX($H$26:$NC$26, MATCH(Control!$H$18, $H$24:$NC$24, 0) + IF(LX$24 &lt; Control!$H$18, -1, 0)))/ IF(LX$24 &lt; Control!$H$18, 1, LX$26))</f>
        <v>1.9590840999359755</v>
      </c>
      <c r="LY27" s="1173">
        <f>IF(LY$24=Control!$H$18, 1, PRODUCT(LY$26:INDEX($H$26:$NC$26, MATCH(Control!$H$18, $H$24:$NC$24, 0) + IF(LY$24 &lt; Control!$H$18, -1, 0)))/ IF(LY$24 &lt; Control!$H$18, 1, LY$26))</f>
        <v>1.9633066098883991</v>
      </c>
      <c r="LZ27" s="1173">
        <f>IF(LZ$24=Control!$H$18, 1, PRODUCT(LZ$26:INDEX($H$26:$NC$26, MATCH(Control!$H$18, $H$24:$NC$24, 0) + IF(LZ$24 &lt; Control!$H$18, -1, 0)))/ IF(LZ$24 &lt; Control!$H$18, 1, LZ$26))</f>
        <v>1.9675382208234191</v>
      </c>
      <c r="MA27" s="1173">
        <f>IF(MA$24=Control!$H$18, 1, PRODUCT(MA$26:INDEX($H$26:$NC$26, MATCH(Control!$H$18, $H$24:$NC$24, 0) + IF(MA$24 &lt; Control!$H$18, -1, 0)))/ IF(MA$24 &lt; Control!$H$18, 1, MA$26))</f>
        <v>1.9717789523568292</v>
      </c>
      <c r="MB27" s="1173">
        <f>IF(MB$24=Control!$H$18, 1, PRODUCT(MB$26:INDEX($H$26:$NC$26, MATCH(Control!$H$18, $H$24:$NC$24, 0) + IF(MB$24 &lt; Control!$H$18, -1, 0)))/ IF(MB$24 &lt; Control!$H$18, 1, MB$26))</f>
        <v>1.9760288241467021</v>
      </c>
      <c r="MC27" s="1173">
        <f>IF(MC$24=Control!$H$18, 1, PRODUCT(MC$26:INDEX($H$26:$NC$26, MATCH(Control!$H$18, $H$24:$NC$24, 0) + IF(MC$24 &lt; Control!$H$18, -1, 0)))/ IF(MC$24 &lt; Control!$H$18, 1, MC$26))</f>
        <v>1.9802878558934802</v>
      </c>
      <c r="MD27" s="1173">
        <f>IF(MD$24=Control!$H$18, 1, PRODUCT(MD$26:INDEX($H$26:$NC$26, MATCH(Control!$H$18, $H$24:$NC$24, 0) + IF(MD$24 &lt; Control!$H$18, -1, 0)))/ IF(MD$24 &lt; Control!$H$18, 1, MD$26))</f>
        <v>1.9845560673400675</v>
      </c>
      <c r="ME27" s="1173">
        <f>IF(ME$24=Control!$H$18, 1, PRODUCT(ME$26:INDEX($H$26:$NC$26, MATCH(Control!$H$18, $H$24:$NC$24, 0) + IF(ME$24 &lt; Control!$H$18, -1, 0)))/ IF(ME$24 &lt; Control!$H$18, 1, ME$26))</f>
        <v>1.9888334782719208</v>
      </c>
      <c r="MF27" s="1173">
        <f>IF(MF$24=Control!$H$18, 1, PRODUCT(MF$26:INDEX($H$26:$NC$26, MATCH(Control!$H$18, $H$24:$NC$24, 0) + IF(MF$24 &lt; Control!$H$18, -1, 0)))/ IF(MF$24 &lt; Control!$H$18, 1, MF$26))</f>
        <v>1.9931201085171415</v>
      </c>
      <c r="MG27" s="1173">
        <f>IF(MG$24=Control!$H$18, 1, PRODUCT(MG$26:INDEX($H$26:$NC$26, MATCH(Control!$H$18, $H$24:$NC$24, 0) + IF(MG$24 &lt; Control!$H$18, -1, 0)))/ IF(MG$24 &lt; Control!$H$18, 1, MG$26))</f>
        <v>1.9974159779465677</v>
      </c>
      <c r="MH27" s="1173">
        <f>IF(MH$24=Control!$H$18, 1, PRODUCT(MH$26:INDEX($H$26:$NC$26, MATCH(Control!$H$18, $H$24:$NC$24, 0) + IF(MH$24 &lt; Control!$H$18, -1, 0)))/ IF(MH$24 &lt; Control!$H$18, 1, MH$26))</f>
        <v>2.0017211064738651</v>
      </c>
      <c r="MI27" s="1173">
        <f>IF(MI$24=Control!$H$18, 1, PRODUCT(MI$26:INDEX($H$26:$NC$26, MATCH(Control!$H$18, $H$24:$NC$24, 0) + IF(MI$24 &lt; Control!$H$18, -1, 0)))/ IF(MI$24 &lt; Control!$H$18, 1, MI$26))</f>
        <v>2.0060355140556219</v>
      </c>
      <c r="MJ27" s="1173">
        <f>IF(MJ$24=Control!$H$18, 1, PRODUCT(MJ$26:INDEX($H$26:$NC$26, MATCH(Control!$H$18, $H$24:$NC$24, 0) + IF(MJ$24 &lt; Control!$H$18, -1, 0)))/ IF(MJ$24 &lt; Control!$H$18, 1, MJ$26))</f>
        <v>2.0103592206914382</v>
      </c>
      <c r="MK27" s="1173">
        <f>IF(MK$24=Control!$H$18, 1, PRODUCT(MK$26:INDEX($H$26:$NC$26, MATCH(Control!$H$18, $H$24:$NC$24, 0) + IF(MK$24 &lt; Control!$H$18, -1, 0)))/ IF(MK$24 &lt; Control!$H$18, 1, MK$26))</f>
        <v>2.0146993211370288</v>
      </c>
      <c r="ML27" s="1173">
        <f>IF(ML$24=Control!$H$18, 1, PRODUCT(ML$26:INDEX($H$26:$NC$26, MATCH(Control!$H$18, $H$24:$NC$24, 0) + IF(ML$24 &lt; Control!$H$18, -1, 0)))/ IF(ML$24 &lt; Control!$H$18, 1, ML$26))</f>
        <v>2.0190487912871395</v>
      </c>
      <c r="MM27" s="1173">
        <f>IF(MM$24=Control!$H$18, 1, PRODUCT(MM$26:INDEX($H$26:$NC$26, MATCH(Control!$H$18, $H$24:$NC$24, 0) + IF(MM$24 &lt; Control!$H$18, -1, 0)))/ IF(MM$24 &lt; Control!$H$18, 1, MM$26))</f>
        <v>2.0234076513697272</v>
      </c>
      <c r="MN27" s="1173">
        <f>IF(MN$24=Control!$H$18, 1, PRODUCT(MN$26:INDEX($H$26:$NC$26, MATCH(Control!$H$18, $H$24:$NC$24, 0) + IF(MN$24 &lt; Control!$H$18, -1, 0)))/ IF(MN$24 &lt; Control!$H$18, 1, MN$26))</f>
        <v>2.027775921656418</v>
      </c>
      <c r="MO27" s="1173">
        <f>IF(MO$24=Control!$H$18, 1, PRODUCT(MO$26:INDEX($H$26:$NC$26, MATCH(Control!$H$18, $H$24:$NC$24, 0) + IF(MO$24 &lt; Control!$H$18, -1, 0)))/ IF(MO$24 &lt; Control!$H$18, 1, MO$26))</f>
        <v>2.0321536224626011</v>
      </c>
      <c r="MP27" s="1173">
        <f>IF(MP$24=Control!$H$18, 1, PRODUCT(MP$26:INDEX($H$26:$NC$26, MATCH(Control!$H$18, $H$24:$NC$24, 0) + IF(MP$24 &lt; Control!$H$18, -1, 0)))/ IF(MP$24 &lt; Control!$H$18, 1, MP$26))</f>
        <v>2.0365407741475248</v>
      </c>
      <c r="MQ27" s="1173">
        <f>IF(MQ$24=Control!$H$18, 1, PRODUCT(MQ$26:INDEX($H$26:$NC$26, MATCH(Control!$H$18, $H$24:$NC$24, 0) + IF(MQ$24 &lt; Control!$H$18, -1, 0)))/ IF(MQ$24 &lt; Control!$H$18, 1, MQ$26))</f>
        <v>2.0409373971143898</v>
      </c>
      <c r="MR27" s="1173">
        <f>IF(MR$24=Control!$H$18, 1, PRODUCT(MR$26:INDEX($H$26:$NC$26, MATCH(Control!$H$18, $H$24:$NC$24, 0) + IF(MR$24 &lt; Control!$H$18, -1, 0)))/ IF(MR$24 &lt; Control!$H$18, 1, MR$26))</f>
        <v>2.0453435118104446</v>
      </c>
      <c r="MS27" s="1173">
        <f>IF(MS$24=Control!$H$18, 1, PRODUCT(MS$26:INDEX($H$26:$NC$26, MATCH(Control!$H$18, $H$24:$NC$24, 0) + IF(MS$24 &lt; Control!$H$18, -1, 0)))/ IF(MS$24 &lt; Control!$H$18, 1, MS$26))</f>
        <v>2.0497591387270813</v>
      </c>
      <c r="MT27" s="1173">
        <f>IF(MT$24=Control!$H$18, 1, PRODUCT(MT$26:INDEX($H$26:$NC$26, MATCH(Control!$H$18, $H$24:$NC$24, 0) + IF(MT$24 &lt; Control!$H$18, -1, 0)))/ IF(MT$24 &lt; Control!$H$18, 1, MT$26))</f>
        <v>2.0541842983999294</v>
      </c>
      <c r="MU27" s="1173">
        <f>IF(MU$24=Control!$H$18, 1, PRODUCT(MU$26:INDEX($H$26:$NC$26, MATCH(Control!$H$18, $H$24:$NC$24, 0) + IF(MU$24 &lt; Control!$H$18, -1, 0)))/ IF(MU$24 &lt; Control!$H$18, 1, MU$26))</f>
        <v>2.0586190114089526</v>
      </c>
      <c r="MV27" s="1173">
        <f>IF(MV$24=Control!$H$18, 1, PRODUCT(MV$26:INDEX($H$26:$NC$26, MATCH(Control!$H$18, $H$24:$NC$24, 0) + IF(MV$24 &lt; Control!$H$18, -1, 0)))/ IF(MV$24 &lt; Control!$H$18, 1, MV$26))</f>
        <v>2.0630632983785442</v>
      </c>
      <c r="MW27" s="1173">
        <f>IF(MW$24=Control!$H$18, 1, PRODUCT(MW$26:INDEX($H$26:$NC$26, MATCH(Control!$H$18, $H$24:$NC$24, 0) + IF(MW$24 &lt; Control!$H$18, -1, 0)))/ IF(MW$24 &lt; Control!$H$18, 1, MW$26))</f>
        <v>2.0675239773835532</v>
      </c>
      <c r="MX27" s="1173">
        <f>IF(MX$24=Control!$H$18, 1, PRODUCT(MX$26:INDEX($H$26:$NC$26, MATCH(Control!$H$18, $H$24:$NC$24, 0) + IF(MX$24 &lt; Control!$H$18, -1, 0)))/ IF(MX$24 &lt; Control!$H$18, 1, MX$26))</f>
        <v>2.0719943011033908</v>
      </c>
      <c r="MY27" s="1173">
        <f>IF(MY$24=Control!$H$18, 1, PRODUCT(MY$26:INDEX($H$26:$NC$26, MATCH(Control!$H$18, $H$24:$NC$24, 0) + IF(MY$24 &lt; Control!$H$18, -1, 0)))/ IF(MY$24 &lt; Control!$H$18, 1, MY$26))</f>
        <v>2.0764742903915017</v>
      </c>
      <c r="MZ27" s="1173">
        <f>IF(MZ$24=Control!$H$18, 1, PRODUCT(MZ$26:INDEX($H$26:$NC$26, MATCH(Control!$H$18, $H$24:$NC$24, 0) + IF(MZ$24 &lt; Control!$H$18, -1, 0)))/ IF(MZ$24 &lt; Control!$H$18, 1, MZ$26))</f>
        <v>2.0809639661464194</v>
      </c>
      <c r="NA27" s="1173">
        <f>IF(NA$24=Control!$H$18, 1, PRODUCT(NA$26:INDEX($H$26:$NC$26, MATCH(Control!$H$18, $H$24:$NC$24, 0) + IF(NA$24 &lt; Control!$H$18, -1, 0)))/ IF(NA$24 &lt; Control!$H$18, 1, NA$26))</f>
        <v>2.0854633493118637</v>
      </c>
      <c r="NB27" s="1173">
        <f>IF(NB$24=Control!$H$18, 1, PRODUCT(NB$26:INDEX($H$26:$NC$26, MATCH(Control!$H$18, $H$24:$NC$24, 0) + IF(NB$24 &lt; Control!$H$18, -1, 0)))/ IF(NB$24 &lt; Control!$H$18, 1, NB$26))</f>
        <v>2.0899724608768375</v>
      </c>
      <c r="NC27" s="1173">
        <f>IF(NC$24=Control!$H$18, 1, PRODUCT(NC$26:INDEX($H$26:$NC$26, MATCH(Control!$H$18, $H$24:$NC$24, 0) + IF(NC$24 &lt; Control!$H$18, -1, 0)))/ IF(NC$24 &lt; Control!$H$18, 1, NC$26))</f>
        <v>2.0944913218757257</v>
      </c>
    </row>
    <row r="28" spans="1:367" ht="6" customHeight="1" thickBot="1" x14ac:dyDescent="0.4">
      <c r="D28" s="1156"/>
      <c r="E28" s="1156"/>
      <c r="F28" s="1156"/>
      <c r="G28" s="1156"/>
      <c r="H28" s="1156"/>
      <c r="I28" s="1156"/>
      <c r="J28" s="1156"/>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row>
    <row r="29" spans="1:367" ht="6" customHeight="1" thickTop="1" x14ac:dyDescent="0.35">
      <c r="D29" s="1154"/>
      <c r="E29" s="1154"/>
      <c r="F29" s="1154"/>
      <c r="G29" s="1154"/>
      <c r="H29" s="1154"/>
      <c r="I29" s="1154"/>
      <c r="J29" s="1154"/>
    </row>
    <row r="30" spans="1:367" ht="15" customHeight="1" x14ac:dyDescent="0.35">
      <c r="D30" s="1187" t="s">
        <v>50</v>
      </c>
      <c r="E30" s="1187"/>
      <c r="F30" s="1187"/>
      <c r="G30" s="1187"/>
      <c r="H30" s="1325"/>
      <c r="I30" s="1187"/>
      <c r="J30" s="1187"/>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row>
    <row r="31" spans="1:367" s="1115" customFormat="1" ht="15" customHeight="1" x14ac:dyDescent="0.35">
      <c r="D31" s="404" t="s">
        <v>679</v>
      </c>
    </row>
    <row r="32" spans="1:367" ht="15" customHeight="1" x14ac:dyDescent="0.35">
      <c r="D32" s="2153" t="str">
        <f>F26&amp;": ("&amp;F25&amp;" + 1) ^ IF("&amp;F24&amp;" &lt; "&amp;F11&amp;", -1, 1)."</f>
        <v>[10]: ([9] + 1) ^ IF([8] &lt; [1], -1, 1).</v>
      </c>
      <c r="E32" s="1187"/>
      <c r="F32" s="1187"/>
      <c r="G32" s="1187"/>
      <c r="H32" s="1187"/>
      <c r="I32" s="1187"/>
      <c r="J32" s="1187"/>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row>
    <row r="33" spans="4:90" ht="15" customHeight="1" x14ac:dyDescent="0.35">
      <c r="D33" s="2188" t="str">
        <f>F27&amp;": If "&amp;F$24&amp;" = "&amp;F11&amp;", 1. Otherwise, this is the product of all the monthly inflation multipliers between the cost estimate date and each month,"&amp;" exclusive of the current month's inflation. For months prior to the cost estimate date, this includes the current month's escalation rate since the cumulative rate is to the start of the month."</f>
        <v>[11]: If [8] = [1], 1. Otherwise, this is the product of all the monthly inflation multipliers between the cost estimate date and each month, exclusive of the current month's inflation. For months prior to the cost estimate date, this includes the current month's escalation rate since the cumulative rate is to the start of the month.</v>
      </c>
      <c r="E33" s="2188"/>
      <c r="F33" s="2188"/>
      <c r="G33" s="2188"/>
      <c r="H33" s="2188"/>
      <c r="I33" s="2188"/>
      <c r="J33" s="2188"/>
      <c r="K33" s="2188"/>
      <c r="L33" s="2188"/>
      <c r="M33" s="2188"/>
      <c r="N33" s="2188"/>
      <c r="O33" s="2174"/>
      <c r="P33" s="2174"/>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3"/>
      <c r="CD33" s="393"/>
      <c r="CE33" s="393"/>
      <c r="CF33" s="393"/>
      <c r="CG33" s="393"/>
      <c r="CH33" s="393"/>
      <c r="CI33" s="393"/>
      <c r="CJ33" s="393"/>
      <c r="CK33" s="393"/>
      <c r="CL33" s="393"/>
    </row>
    <row r="34" spans="4:90" ht="15" customHeight="1" x14ac:dyDescent="0.35">
      <c r="D34" s="2188"/>
      <c r="E34" s="2188"/>
      <c r="F34" s="2188"/>
      <c r="G34" s="2188"/>
      <c r="H34" s="2188"/>
      <c r="I34" s="2188"/>
      <c r="J34" s="2188"/>
      <c r="K34" s="2188"/>
      <c r="L34" s="2188"/>
      <c r="M34" s="2188"/>
      <c r="N34" s="2188"/>
      <c r="O34" s="2174"/>
      <c r="P34" s="2174"/>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row>
    <row r="35" spans="4:90" ht="15" customHeight="1" x14ac:dyDescent="0.35">
      <c r="D35" s="1185"/>
      <c r="E35" s="1172"/>
      <c r="H35" s="1189"/>
      <c r="I35" s="1189"/>
      <c r="J35" s="1189"/>
      <c r="K35" s="1189"/>
      <c r="L35" s="1189"/>
      <c r="M35" s="1189"/>
      <c r="N35" s="1189"/>
      <c r="O35" s="1189"/>
      <c r="P35" s="1189"/>
      <c r="Q35" s="1189"/>
      <c r="R35" s="1189"/>
      <c r="S35" s="1189"/>
      <c r="T35" s="1189"/>
      <c r="U35" s="1189"/>
      <c r="V35" s="1189"/>
      <c r="W35" s="1189"/>
      <c r="X35" s="1189"/>
      <c r="Y35" s="1189"/>
      <c r="Z35" s="1189"/>
      <c r="AA35" s="1189"/>
      <c r="AB35" s="1189"/>
      <c r="AC35" s="1189"/>
      <c r="AD35" s="1189"/>
      <c r="AE35" s="1189"/>
      <c r="AF35" s="1189"/>
      <c r="AG35" s="1189"/>
      <c r="AH35" s="1189"/>
      <c r="AI35" s="1189"/>
      <c r="AJ35" s="1189"/>
      <c r="AK35" s="1189"/>
      <c r="AL35" s="1189"/>
      <c r="AM35" s="1189"/>
      <c r="AN35" s="1189"/>
      <c r="AO35" s="1189"/>
      <c r="AP35" s="1189"/>
      <c r="AQ35" s="1189"/>
      <c r="AR35" s="1189"/>
      <c r="AS35" s="1189"/>
      <c r="AT35" s="1189"/>
      <c r="AU35" s="1189"/>
      <c r="AV35" s="1189"/>
      <c r="AW35" s="1189"/>
      <c r="AX35" s="1189"/>
      <c r="AY35" s="1189"/>
      <c r="AZ35" s="1189"/>
      <c r="BA35" s="1189"/>
      <c r="BB35" s="1189"/>
      <c r="BC35" s="1189"/>
      <c r="BD35" s="1189"/>
      <c r="BE35" s="1189"/>
      <c r="BF35" s="1189"/>
      <c r="BG35" s="1189"/>
      <c r="BH35" s="1189"/>
      <c r="BI35" s="1189"/>
      <c r="BJ35" s="1189"/>
      <c r="BK35" s="1189"/>
      <c r="BL35" s="1189"/>
      <c r="BM35" s="1189"/>
      <c r="BN35" s="1189"/>
      <c r="BO35" s="1189"/>
      <c r="BP35" s="1189"/>
      <c r="BQ35" s="1189"/>
      <c r="BR35" s="1189"/>
      <c r="BS35" s="1189"/>
      <c r="BT35" s="1189"/>
      <c r="BU35" s="1189"/>
      <c r="BV35" s="1189"/>
      <c r="BW35" s="1189"/>
      <c r="BX35" s="1189"/>
      <c r="BY35" s="1189"/>
      <c r="BZ35" s="1189"/>
      <c r="CA35" s="1189"/>
      <c r="CB35" s="1189"/>
      <c r="CC35" s="1189"/>
      <c r="CD35" s="1189"/>
      <c r="CE35" s="1189"/>
      <c r="CF35" s="1189"/>
      <c r="CG35" s="1189"/>
      <c r="CH35" s="1189"/>
      <c r="CI35" s="1189"/>
      <c r="CJ35" s="1189"/>
      <c r="CK35" s="1189"/>
    </row>
    <row r="36" spans="4:90" ht="15" customHeight="1" x14ac:dyDescent="0.35">
      <c r="D36" s="1119"/>
      <c r="H36" s="1173"/>
      <c r="I36" s="1173"/>
      <c r="J36" s="1173"/>
      <c r="K36" s="1173"/>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3"/>
      <c r="AJ36" s="1173"/>
      <c r="AK36" s="1173"/>
      <c r="AL36" s="1173"/>
      <c r="AM36" s="1173"/>
      <c r="AN36" s="1173"/>
      <c r="AO36" s="1173"/>
      <c r="AP36" s="1173"/>
      <c r="AQ36" s="1173"/>
      <c r="AR36" s="1173"/>
      <c r="AS36" s="1173"/>
      <c r="AT36" s="1173"/>
      <c r="AU36" s="1173"/>
      <c r="AV36" s="1173"/>
      <c r="AW36" s="1173"/>
      <c r="AX36" s="1173"/>
      <c r="AY36" s="1173"/>
      <c r="AZ36" s="1173"/>
      <c r="BA36" s="1173"/>
      <c r="BB36" s="1173"/>
      <c r="BC36" s="1173"/>
      <c r="BD36" s="1173"/>
      <c r="BE36" s="1173"/>
      <c r="BF36" s="1173"/>
      <c r="BG36" s="1173"/>
      <c r="BH36" s="1173"/>
      <c r="BI36" s="1173"/>
      <c r="BJ36" s="1173"/>
      <c r="BK36" s="1173"/>
      <c r="BL36" s="1173"/>
      <c r="BM36" s="1173"/>
      <c r="BN36" s="1173"/>
      <c r="BO36" s="1173"/>
      <c r="BP36" s="1173"/>
      <c r="BQ36" s="1173"/>
      <c r="BR36" s="1173"/>
      <c r="BS36" s="1173"/>
      <c r="BT36" s="1173"/>
      <c r="BU36" s="1173"/>
      <c r="BV36" s="1173"/>
      <c r="BW36" s="1173"/>
      <c r="BX36" s="1173"/>
      <c r="BY36" s="1173"/>
      <c r="BZ36" s="1173"/>
      <c r="CA36" s="1173"/>
      <c r="CB36" s="1173"/>
      <c r="CC36" s="1173"/>
      <c r="CD36" s="1173"/>
      <c r="CE36" s="1173"/>
      <c r="CF36" s="1173"/>
      <c r="CG36" s="1173"/>
      <c r="CH36" s="1173"/>
      <c r="CI36" s="1173"/>
      <c r="CJ36" s="1173"/>
      <c r="CK36" s="1173"/>
    </row>
    <row r="37" spans="4:90" ht="15" customHeight="1" x14ac:dyDescent="0.35">
      <c r="D37" s="1119"/>
      <c r="H37" s="1174"/>
      <c r="I37" s="1174"/>
      <c r="J37" s="1174"/>
      <c r="K37" s="1174"/>
      <c r="L37" s="1174"/>
      <c r="M37" s="1174"/>
      <c r="N37" s="1174"/>
      <c r="O37" s="1174"/>
      <c r="P37" s="1174"/>
      <c r="Q37" s="1174"/>
      <c r="R37" s="1174"/>
      <c r="S37" s="1174"/>
      <c r="T37" s="1174"/>
      <c r="U37" s="1174"/>
      <c r="V37" s="1174"/>
      <c r="W37" s="1174"/>
      <c r="X37" s="1174"/>
      <c r="Y37" s="1174"/>
      <c r="Z37" s="1174"/>
      <c r="AA37" s="1174"/>
      <c r="AB37" s="1174"/>
      <c r="AC37" s="1174"/>
      <c r="AD37" s="1174"/>
      <c r="AE37" s="1174"/>
      <c r="AF37" s="1174"/>
      <c r="AG37" s="1174"/>
      <c r="AH37" s="1174"/>
      <c r="AI37" s="1174"/>
      <c r="AJ37" s="1174"/>
      <c r="AK37" s="1174"/>
      <c r="AL37" s="1174"/>
      <c r="AM37" s="1174"/>
      <c r="AN37" s="1174"/>
      <c r="AO37" s="1174"/>
      <c r="AP37" s="1174"/>
      <c r="AQ37" s="1174"/>
      <c r="AR37" s="1174"/>
      <c r="AS37" s="1174"/>
      <c r="AT37" s="1174"/>
      <c r="AU37" s="1174"/>
      <c r="AV37" s="1174"/>
      <c r="AW37" s="1174"/>
      <c r="AX37" s="1174"/>
      <c r="AY37" s="1174"/>
      <c r="AZ37" s="1174"/>
      <c r="BA37" s="1174"/>
      <c r="BB37" s="1174"/>
      <c r="BC37" s="1174"/>
      <c r="BD37" s="1174"/>
      <c r="BE37" s="1174"/>
      <c r="BF37" s="1174"/>
      <c r="BG37" s="1174"/>
      <c r="BH37" s="1174"/>
      <c r="BI37" s="1174"/>
      <c r="BJ37" s="1174"/>
      <c r="BK37" s="1174"/>
      <c r="BL37" s="1174"/>
      <c r="BM37" s="1174"/>
      <c r="BN37" s="1174"/>
      <c r="BO37" s="1174"/>
      <c r="BP37" s="1174"/>
      <c r="BQ37" s="1174"/>
      <c r="BR37" s="1174"/>
      <c r="BS37" s="1174"/>
      <c r="BT37" s="1174"/>
      <c r="BU37" s="1174"/>
      <c r="BV37" s="1174"/>
      <c r="BW37" s="1174"/>
      <c r="BX37" s="1174"/>
      <c r="BY37" s="1174"/>
      <c r="BZ37" s="1174"/>
      <c r="CA37" s="1174"/>
      <c r="CB37" s="1174"/>
      <c r="CC37" s="1174"/>
      <c r="CD37" s="1174"/>
      <c r="CE37" s="1174"/>
      <c r="CF37" s="1174"/>
      <c r="CG37" s="1174"/>
      <c r="CH37" s="1174"/>
      <c r="CI37" s="1174"/>
      <c r="CJ37" s="1174"/>
      <c r="CK37" s="1174"/>
    </row>
    <row r="38" spans="4:90" ht="15" customHeight="1" x14ac:dyDescent="0.35">
      <c r="D38" s="1119"/>
      <c r="H38" s="1367"/>
      <c r="I38" s="1367"/>
      <c r="J38" s="1367"/>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7"/>
      <c r="AP38" s="1367"/>
      <c r="AQ38" s="1367"/>
      <c r="AR38" s="1367"/>
      <c r="AS38" s="1367"/>
      <c r="AT38" s="1367"/>
      <c r="AU38" s="1367"/>
      <c r="AV38" s="1367"/>
      <c r="AW38" s="1367"/>
      <c r="AX38" s="1367"/>
      <c r="AY38" s="1367"/>
      <c r="AZ38" s="1367"/>
      <c r="BA38" s="1367"/>
      <c r="BB38" s="1367"/>
      <c r="BC38" s="1367"/>
      <c r="BD38" s="1367"/>
      <c r="BE38" s="1367"/>
      <c r="BF38" s="1367"/>
      <c r="BG38" s="1367"/>
      <c r="BH38" s="1367"/>
      <c r="BI38" s="1367"/>
      <c r="BJ38" s="1367"/>
      <c r="BK38" s="1367"/>
      <c r="BL38" s="1367"/>
      <c r="BM38" s="1367"/>
      <c r="BN38" s="1367"/>
      <c r="BO38" s="1367"/>
      <c r="BP38" s="1367"/>
      <c r="BQ38" s="1367"/>
      <c r="BR38" s="1367"/>
      <c r="BS38" s="1367"/>
      <c r="BT38" s="1367"/>
      <c r="BU38" s="1367"/>
      <c r="BV38" s="1367"/>
      <c r="BW38" s="1367"/>
      <c r="BX38" s="1367"/>
      <c r="BY38" s="1367"/>
      <c r="BZ38" s="1367"/>
      <c r="CA38" s="1367"/>
      <c r="CB38" s="1367"/>
      <c r="CC38" s="1367"/>
      <c r="CD38" s="1367"/>
      <c r="CE38" s="1367"/>
      <c r="CF38" s="1367"/>
      <c r="CG38" s="1367"/>
      <c r="CH38" s="1367"/>
      <c r="CI38" s="1367"/>
      <c r="CJ38" s="1367"/>
      <c r="CK38" s="1367"/>
    </row>
    <row r="39" spans="4:90" ht="15" customHeight="1" x14ac:dyDescent="0.35">
      <c r="D39" s="1119"/>
      <c r="H39" s="1173"/>
      <c r="I39" s="1173"/>
      <c r="J39" s="1173"/>
      <c r="K39" s="1173"/>
      <c r="L39" s="1173"/>
      <c r="M39" s="1173"/>
      <c r="N39" s="1173"/>
      <c r="O39" s="1173"/>
      <c r="P39" s="1173"/>
      <c r="Q39" s="1173"/>
      <c r="R39" s="1173"/>
      <c r="S39" s="1173"/>
      <c r="T39" s="1173"/>
      <c r="U39" s="1173"/>
      <c r="V39" s="1173"/>
      <c r="W39" s="1173"/>
      <c r="X39" s="1173"/>
      <c r="Y39" s="1173"/>
      <c r="Z39" s="1173"/>
      <c r="AA39" s="1173"/>
      <c r="AB39" s="1173"/>
      <c r="AC39" s="1173"/>
      <c r="AD39" s="1173"/>
      <c r="AE39" s="1173"/>
      <c r="AF39" s="1173"/>
      <c r="AG39" s="1173"/>
      <c r="AH39" s="1173"/>
      <c r="AI39" s="1173"/>
      <c r="AJ39" s="1173"/>
      <c r="AK39" s="1173"/>
      <c r="AL39" s="1173"/>
      <c r="AM39" s="1173"/>
      <c r="AN39" s="1173"/>
      <c r="AO39" s="1173"/>
      <c r="AP39" s="1173"/>
      <c r="AQ39" s="1173"/>
      <c r="AR39" s="1173"/>
      <c r="AS39" s="1173"/>
      <c r="AT39" s="1173"/>
      <c r="AU39" s="1173"/>
      <c r="AV39" s="1173"/>
      <c r="AW39" s="1173"/>
      <c r="AX39" s="1173"/>
      <c r="AY39" s="1173"/>
      <c r="AZ39" s="1173"/>
      <c r="BA39" s="1173"/>
      <c r="BB39" s="1173"/>
      <c r="BC39" s="1173"/>
      <c r="BD39" s="1173"/>
      <c r="BE39" s="1173"/>
      <c r="BF39" s="1173"/>
      <c r="BG39" s="1173"/>
      <c r="BH39" s="1173"/>
      <c r="BI39" s="1173"/>
      <c r="BJ39" s="1173"/>
      <c r="BK39" s="1173"/>
      <c r="BL39" s="1173"/>
      <c r="BM39" s="1173"/>
      <c r="BN39" s="1173"/>
      <c r="BO39" s="1173"/>
      <c r="BP39" s="1173"/>
      <c r="BQ39" s="1173"/>
      <c r="BR39" s="1173"/>
      <c r="BS39" s="1173"/>
      <c r="BT39" s="1173"/>
      <c r="BU39" s="1173"/>
      <c r="BV39" s="1173"/>
      <c r="BW39" s="1173"/>
      <c r="BX39" s="1173"/>
      <c r="BY39" s="1173"/>
      <c r="BZ39" s="1173"/>
      <c r="CA39" s="1173"/>
      <c r="CB39" s="1173"/>
      <c r="CC39" s="1173"/>
      <c r="CD39" s="1173"/>
      <c r="CE39" s="1173"/>
      <c r="CF39" s="1173"/>
      <c r="CG39" s="1173"/>
      <c r="CH39" s="1173"/>
      <c r="CI39" s="1173"/>
      <c r="CJ39" s="1173"/>
      <c r="CK39" s="1173"/>
    </row>
    <row r="40" spans="4:90" ht="15" customHeight="1" x14ac:dyDescent="0.35">
      <c r="D40" s="1119"/>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173"/>
      <c r="AD40" s="1173"/>
      <c r="AE40" s="1173"/>
      <c r="AF40" s="1173"/>
      <c r="AG40" s="1173"/>
      <c r="AH40" s="1173"/>
      <c r="AI40" s="1173"/>
      <c r="AJ40" s="1173"/>
      <c r="AK40" s="1173"/>
      <c r="AL40" s="1173"/>
      <c r="AM40" s="1173"/>
      <c r="AN40" s="1173"/>
      <c r="AO40" s="1173"/>
      <c r="AP40" s="1173"/>
      <c r="AQ40" s="1173"/>
      <c r="AR40" s="1173"/>
      <c r="AS40" s="1173"/>
      <c r="AT40" s="1173"/>
      <c r="AU40" s="1173"/>
      <c r="AV40" s="1173"/>
      <c r="AW40" s="1173"/>
      <c r="AX40" s="1173"/>
      <c r="AY40" s="1173"/>
      <c r="AZ40" s="1173"/>
      <c r="BA40" s="1173"/>
      <c r="BB40" s="1173"/>
      <c r="BC40" s="1173"/>
      <c r="BD40" s="1173"/>
      <c r="BE40" s="1173"/>
      <c r="BF40" s="1173"/>
      <c r="BG40" s="1173"/>
      <c r="BH40" s="1173"/>
      <c r="BI40" s="1173"/>
      <c r="BJ40" s="1173"/>
      <c r="BK40" s="1173"/>
      <c r="BL40" s="1173"/>
      <c r="BM40" s="1173"/>
      <c r="BN40" s="1173"/>
      <c r="BO40" s="1173"/>
      <c r="BP40" s="1173"/>
      <c r="BQ40" s="1173"/>
      <c r="BR40" s="1173"/>
      <c r="BS40" s="1173"/>
      <c r="BT40" s="1173"/>
      <c r="BU40" s="1173"/>
      <c r="BV40" s="1173"/>
      <c r="BW40" s="1173"/>
      <c r="BX40" s="1173"/>
      <c r="BY40" s="1173"/>
      <c r="BZ40" s="1173"/>
      <c r="CA40" s="1173"/>
      <c r="CB40" s="1173"/>
      <c r="CC40" s="1173"/>
      <c r="CD40" s="1173"/>
      <c r="CE40" s="1173"/>
      <c r="CF40" s="1173"/>
      <c r="CG40" s="1173"/>
      <c r="CH40" s="1173"/>
      <c r="CI40" s="1173"/>
      <c r="CJ40" s="1173"/>
      <c r="CK40" s="1173"/>
    </row>
    <row r="41" spans="4:90" ht="15" customHeight="1" x14ac:dyDescent="0.35">
      <c r="D41" s="1119"/>
      <c r="H41" s="1173"/>
      <c r="I41" s="1173"/>
      <c r="J41" s="1173"/>
      <c r="K41" s="1173"/>
      <c r="L41" s="1173"/>
      <c r="M41" s="1173"/>
      <c r="N41" s="1173"/>
      <c r="O41" s="1173"/>
      <c r="P41" s="1173"/>
      <c r="Q41" s="1173"/>
      <c r="R41" s="1173"/>
      <c r="S41" s="1173"/>
      <c r="T41" s="1173"/>
      <c r="U41" s="1173"/>
      <c r="V41" s="1173"/>
      <c r="W41" s="1173"/>
      <c r="X41" s="1173"/>
      <c r="Y41" s="1173"/>
      <c r="Z41" s="1173"/>
      <c r="AA41" s="1173"/>
      <c r="AB41" s="1173"/>
      <c r="AC41" s="1173"/>
      <c r="AD41" s="1173"/>
      <c r="AE41" s="1173"/>
      <c r="AF41" s="1173"/>
      <c r="AG41" s="1173"/>
      <c r="AH41" s="1173"/>
      <c r="AI41" s="1173"/>
      <c r="AJ41" s="1173"/>
      <c r="AK41" s="1173"/>
      <c r="AL41" s="1173"/>
      <c r="AM41" s="1173"/>
      <c r="AN41" s="1173"/>
      <c r="AO41" s="1173"/>
      <c r="AP41" s="1173"/>
      <c r="AQ41" s="1173"/>
      <c r="AR41" s="1173"/>
      <c r="AS41" s="1173"/>
      <c r="AT41" s="1173"/>
      <c r="AU41" s="1173"/>
      <c r="AV41" s="1173"/>
      <c r="AW41" s="1173"/>
      <c r="AX41" s="1173"/>
      <c r="AY41" s="1173"/>
      <c r="AZ41" s="1173"/>
      <c r="BA41" s="1173"/>
      <c r="BB41" s="1173"/>
      <c r="BC41" s="1173"/>
      <c r="BD41" s="1173"/>
      <c r="BE41" s="1173"/>
      <c r="BF41" s="1173"/>
      <c r="BG41" s="1173"/>
      <c r="BH41" s="1173"/>
      <c r="BI41" s="1173"/>
      <c r="BJ41" s="1173"/>
      <c r="BK41" s="1173"/>
      <c r="BL41" s="1173"/>
      <c r="BM41" s="1173"/>
      <c r="BN41" s="1173"/>
      <c r="BO41" s="1173"/>
      <c r="BP41" s="1173"/>
      <c r="BQ41" s="1173"/>
      <c r="BR41" s="1173"/>
      <c r="BS41" s="1173"/>
      <c r="BT41" s="1173"/>
      <c r="BU41" s="1173"/>
      <c r="BV41" s="1173"/>
      <c r="BW41" s="1173"/>
      <c r="BX41" s="1173"/>
      <c r="BY41" s="1173"/>
      <c r="BZ41" s="1173"/>
      <c r="CA41" s="1173"/>
      <c r="CB41" s="1173"/>
      <c r="CC41" s="1173"/>
      <c r="CD41" s="1173"/>
      <c r="CE41" s="1173"/>
      <c r="CF41" s="1173"/>
      <c r="CG41" s="1173"/>
      <c r="CH41" s="1173"/>
      <c r="CI41" s="1173"/>
      <c r="CJ41" s="1173"/>
      <c r="CK41" s="1173"/>
      <c r="CL41" s="1173"/>
    </row>
    <row r="42" spans="4:90" ht="15" customHeight="1" x14ac:dyDescent="0.35">
      <c r="D42" s="1119"/>
      <c r="H42" s="1173"/>
      <c r="I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c r="AI42" s="1173"/>
      <c r="AJ42" s="1173"/>
      <c r="AK42" s="1173"/>
      <c r="AL42" s="1173"/>
      <c r="AM42" s="1173"/>
      <c r="AN42" s="1173"/>
      <c r="AO42" s="1173"/>
      <c r="AP42" s="1173"/>
      <c r="AQ42" s="1173"/>
      <c r="AR42" s="1173"/>
      <c r="AS42" s="1173"/>
      <c r="AT42" s="1173"/>
      <c r="AU42" s="1173"/>
      <c r="AV42" s="1173"/>
      <c r="AW42" s="1173"/>
      <c r="AX42" s="1173"/>
      <c r="AY42" s="1173"/>
      <c r="AZ42" s="1173"/>
      <c r="BA42" s="1173"/>
      <c r="BB42" s="1173"/>
      <c r="BC42" s="1173"/>
      <c r="BD42" s="1173"/>
      <c r="BE42" s="1173"/>
      <c r="BF42" s="1173"/>
      <c r="BG42" s="1173"/>
      <c r="BH42" s="1173"/>
      <c r="BI42" s="1173"/>
      <c r="BJ42" s="1173"/>
      <c r="BK42" s="1173"/>
      <c r="BL42" s="1173"/>
      <c r="BM42" s="1173"/>
      <c r="BN42" s="1173"/>
      <c r="BO42" s="1173"/>
      <c r="BP42" s="1173"/>
      <c r="BQ42" s="1173"/>
      <c r="BR42" s="1173"/>
      <c r="BS42" s="1173"/>
      <c r="BT42" s="1173"/>
      <c r="BU42" s="1173"/>
      <c r="BV42" s="1173"/>
      <c r="BW42" s="1173"/>
      <c r="BX42" s="1173"/>
      <c r="BY42" s="1173"/>
      <c r="BZ42" s="1173"/>
      <c r="CA42" s="1173"/>
      <c r="CB42" s="1173"/>
      <c r="CC42" s="1173"/>
      <c r="CD42" s="1173"/>
      <c r="CE42" s="1173"/>
      <c r="CF42" s="1173"/>
      <c r="CG42" s="1173"/>
      <c r="CH42" s="1173"/>
      <c r="CI42" s="1173"/>
      <c r="CJ42" s="1173"/>
      <c r="CK42" s="1173"/>
    </row>
    <row r="43" spans="4:90" ht="15" customHeight="1" x14ac:dyDescent="0.35">
      <c r="D43" s="1119"/>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c r="AJ43" s="1174"/>
      <c r="AK43" s="1174"/>
      <c r="AL43" s="1174"/>
      <c r="AM43" s="1174"/>
      <c r="AN43" s="1174"/>
      <c r="AO43" s="1174"/>
      <c r="AP43" s="1174"/>
      <c r="AQ43" s="1174"/>
      <c r="AR43" s="1174"/>
      <c r="AS43" s="1174"/>
      <c r="AT43" s="1174"/>
      <c r="AU43" s="1174"/>
      <c r="AV43" s="1174"/>
      <c r="AW43" s="1174"/>
      <c r="AX43" s="1174"/>
      <c r="AY43" s="1174"/>
      <c r="AZ43" s="1174"/>
      <c r="BA43" s="1174"/>
      <c r="BB43" s="1174"/>
      <c r="BC43" s="1174"/>
      <c r="BD43" s="1174"/>
      <c r="BE43" s="1174"/>
      <c r="BF43" s="1174"/>
      <c r="BG43" s="1174"/>
      <c r="BH43" s="1174"/>
      <c r="BI43" s="1174"/>
      <c r="BJ43" s="1174"/>
      <c r="BK43" s="1174"/>
      <c r="BL43" s="1174"/>
      <c r="BM43" s="1174"/>
      <c r="BN43" s="1174"/>
      <c r="BO43" s="1174"/>
      <c r="BP43" s="1174"/>
      <c r="BQ43" s="1174"/>
      <c r="BR43" s="1174"/>
      <c r="BS43" s="1174"/>
      <c r="BT43" s="1174"/>
      <c r="BU43" s="1174"/>
      <c r="BV43" s="1174"/>
      <c r="BW43" s="1174"/>
      <c r="BX43" s="1174"/>
      <c r="BY43" s="1174"/>
      <c r="BZ43" s="1174"/>
      <c r="CA43" s="1174"/>
      <c r="CB43" s="1174"/>
      <c r="CC43" s="1174"/>
      <c r="CD43" s="1174"/>
      <c r="CE43" s="1174"/>
      <c r="CF43" s="1174"/>
      <c r="CG43" s="1174"/>
      <c r="CH43" s="1174"/>
      <c r="CI43" s="1174"/>
      <c r="CJ43" s="1174"/>
      <c r="CK43" s="1174"/>
    </row>
  </sheetData>
  <mergeCells count="1">
    <mergeCell ref="D33:N34"/>
  </mergeCells>
  <conditionalFormatting sqref="X31:Y31">
    <cfRule type="cellIs" dxfId="21" priority="1" operator="equal">
      <formula>TRUE</formula>
    </cfRule>
    <cfRule type="cellIs" dxfId="20" priority="2" operator="equal">
      <formula>TRUE</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A313-8B94-4776-A1EE-1FA509276882}">
  <sheetPr codeName="Sheet30">
    <tabColor theme="1"/>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3570-24D6-4BEA-9595-9EA6E736E1F6}">
  <sheetPr codeName="Sheet31">
    <tabColor theme="2"/>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F9A0-6C0F-4276-9166-96A7023DE599}">
  <sheetPr codeName="Sheet32">
    <pageSetUpPr autoPageBreaks="0"/>
  </sheetPr>
  <dimension ref="A1:O34"/>
  <sheetViews>
    <sheetView showGridLines="0" zoomScale="70" zoomScaleNormal="70" workbookViewId="0"/>
  </sheetViews>
  <sheetFormatPr defaultColWidth="8.7265625" defaultRowHeight="15" customHeight="1" x14ac:dyDescent="0.35"/>
  <cols>
    <col min="1" max="3" width="13.54296875" style="5" customWidth="1"/>
    <col min="4" max="4" width="43" style="5" bestFit="1" customWidth="1"/>
    <col min="5" max="5" width="25.54296875" style="5" bestFit="1" customWidth="1"/>
    <col min="6" max="6" width="3.26953125" style="5" bestFit="1" customWidth="1"/>
    <col min="7" max="8" width="12.1796875" style="5" customWidth="1"/>
    <col min="9" max="9" width="12.1796875" customWidth="1"/>
    <col min="10" max="11" width="12.1796875" style="5" customWidth="1"/>
    <col min="12" max="12" width="7.26953125" style="203" bestFit="1" customWidth="1"/>
    <col min="13" max="16384" width="8.7265625" style="5"/>
  </cols>
  <sheetData>
    <row r="1" spans="1:12" s="1" customFormat="1" ht="15" customHeight="1" x14ac:dyDescent="0.35">
      <c r="A1" s="81" t="s">
        <v>275</v>
      </c>
      <c r="I1"/>
      <c r="L1" s="177"/>
    </row>
    <row r="2" spans="1:12" s="1" customFormat="1" ht="15" customHeight="1" x14ac:dyDescent="0.35">
      <c r="I2"/>
      <c r="L2" s="177"/>
    </row>
    <row r="3" spans="1:12" s="1" customFormat="1" ht="15" customHeight="1" x14ac:dyDescent="0.35">
      <c r="D3" s="88" t="str">
        <f>LEFT($D4, FIND(":",$D4)-1)</f>
        <v>Table C1</v>
      </c>
      <c r="E3" s="9"/>
      <c r="I3"/>
      <c r="L3" s="177"/>
    </row>
    <row r="4" spans="1:12" s="1" customFormat="1" ht="15" customHeight="1" x14ac:dyDescent="0.35">
      <c r="D4" s="2" t="str">
        <f>ToC!$J$40</f>
        <v>Table C1: Working Capital and Tax Rates</v>
      </c>
      <c r="E4" s="2"/>
      <c r="I4"/>
      <c r="L4" s="177"/>
    </row>
    <row r="5" spans="1:12" s="1" customFormat="1" ht="6" customHeight="1" thickBot="1" x14ac:dyDescent="0.4">
      <c r="D5" s="3"/>
      <c r="E5" s="3"/>
      <c r="F5" s="3"/>
      <c r="G5" s="3"/>
      <c r="H5" s="3"/>
      <c r="I5" s="3"/>
      <c r="J5" s="3"/>
      <c r="K5" s="3"/>
      <c r="L5" s="177"/>
    </row>
    <row r="6" spans="1:12" s="1" customFormat="1" ht="6" customHeight="1" thickTop="1" x14ac:dyDescent="0.35">
      <c r="I6"/>
      <c r="L6" s="177"/>
    </row>
    <row r="7" spans="1:12" s="1" customFormat="1" ht="15" customHeight="1" x14ac:dyDescent="0.35">
      <c r="D7" s="1605" t="s">
        <v>48</v>
      </c>
      <c r="I7"/>
      <c r="L7" s="177"/>
    </row>
    <row r="8" spans="1:12" ht="15" customHeight="1" x14ac:dyDescent="0.35">
      <c r="A8" s="5">
        <v>1</v>
      </c>
      <c r="D8" s="1606" t="s">
        <v>649</v>
      </c>
      <c r="E8" s="2067" t="s">
        <v>250</v>
      </c>
      <c r="F8" s="1176" t="str">
        <f>"["&amp;A8&amp;"]"</f>
        <v>[1]</v>
      </c>
      <c r="G8" s="1786">
        <v>5.0478866624684409E-3</v>
      </c>
      <c r="H8"/>
      <c r="I8" s="5"/>
    </row>
    <row r="9" spans="1:12" ht="15" customHeight="1" x14ac:dyDescent="0.35">
      <c r="A9" s="5">
        <f>A8+1</f>
        <v>2</v>
      </c>
      <c r="D9" s="1606" t="s">
        <v>648</v>
      </c>
      <c r="E9" s="11" t="s">
        <v>10</v>
      </c>
      <c r="F9" s="1176" t="str">
        <f>"["&amp;A9&amp;"]"</f>
        <v>[2]</v>
      </c>
      <c r="G9" s="45">
        <v>5.8085308333333335E-2</v>
      </c>
      <c r="H9"/>
      <c r="I9" s="5"/>
    </row>
    <row r="10" spans="1:12" ht="6" customHeight="1" x14ac:dyDescent="0.35">
      <c r="D10" s="1606"/>
      <c r="E10" s="11"/>
      <c r="F10" s="1176"/>
      <c r="G10" s="45"/>
      <c r="H10"/>
      <c r="I10" s="5"/>
    </row>
    <row r="11" spans="1:12" ht="15" customHeight="1" x14ac:dyDescent="0.35">
      <c r="D11" s="1607" t="s">
        <v>586</v>
      </c>
      <c r="E11" s="11"/>
      <c r="F11" s="1176"/>
      <c r="G11" s="45"/>
      <c r="H11"/>
      <c r="I11" s="5"/>
    </row>
    <row r="12" spans="1:12" ht="15" customHeight="1" x14ac:dyDescent="0.35">
      <c r="A12" s="5">
        <f>A9+1</f>
        <v>3</v>
      </c>
      <c r="D12" s="1608" t="s">
        <v>234</v>
      </c>
      <c r="E12" s="5" t="s">
        <v>10</v>
      </c>
      <c r="F12" s="1176" t="str">
        <f>"["&amp;A12&amp;"]"</f>
        <v>[3]</v>
      </c>
      <c r="G12" s="45">
        <v>0.21</v>
      </c>
      <c r="H12"/>
      <c r="I12" s="5"/>
    </row>
    <row r="13" spans="1:12" ht="6" customHeight="1" x14ac:dyDescent="0.15">
      <c r="D13" s="1609"/>
      <c r="E13" s="316"/>
      <c r="F13" s="387"/>
      <c r="G13" s="388"/>
      <c r="H13" s="310"/>
      <c r="I13" s="316"/>
      <c r="J13" s="316"/>
      <c r="K13" s="316"/>
    </row>
    <row r="14" spans="1:12" ht="6" customHeight="1" x14ac:dyDescent="0.15">
      <c r="D14" s="1610"/>
      <c r="E14" s="318"/>
      <c r="F14" s="389"/>
      <c r="G14" s="390"/>
      <c r="H14" s="311"/>
      <c r="I14" s="318"/>
      <c r="J14" s="318"/>
      <c r="K14" s="318"/>
    </row>
    <row r="15" spans="1:12" ht="15" customHeight="1" x14ac:dyDescent="0.35">
      <c r="D15" s="1606" t="s">
        <v>287</v>
      </c>
      <c r="G15" s="391">
        <v>1</v>
      </c>
      <c r="H15" s="393">
        <v>2</v>
      </c>
      <c r="I15" s="392">
        <v>3</v>
      </c>
      <c r="J15" s="392">
        <v>4</v>
      </c>
      <c r="K15" s="392">
        <v>5</v>
      </c>
    </row>
    <row r="16" spans="1:12" ht="15" customHeight="1" x14ac:dyDescent="0.35">
      <c r="D16" s="1606"/>
      <c r="G16" s="394" t="s">
        <v>288</v>
      </c>
      <c r="H16" s="395" t="s">
        <v>289</v>
      </c>
      <c r="I16" s="396" t="s">
        <v>290</v>
      </c>
      <c r="J16" s="396" t="s">
        <v>291</v>
      </c>
      <c r="K16" s="396" t="s">
        <v>299</v>
      </c>
    </row>
    <row r="17" spans="1:15" ht="15" customHeight="1" x14ac:dyDescent="0.35">
      <c r="D17" s="1606" t="s">
        <v>490</v>
      </c>
      <c r="G17" s="394" t="s">
        <v>311</v>
      </c>
      <c r="H17" s="395" t="s">
        <v>314</v>
      </c>
      <c r="I17" s="1192" t="s">
        <v>321</v>
      </c>
      <c r="J17" s="396" t="s">
        <v>321</v>
      </c>
      <c r="K17" s="396" t="s">
        <v>325</v>
      </c>
    </row>
    <row r="18" spans="1:15" ht="6" customHeight="1" x14ac:dyDescent="0.15">
      <c r="D18" s="1611"/>
      <c r="E18" s="316"/>
      <c r="F18" s="316"/>
      <c r="G18" s="388"/>
      <c r="H18" s="310"/>
      <c r="I18" s="316"/>
      <c r="J18" s="316"/>
      <c r="K18" s="316"/>
    </row>
    <row r="19" spans="1:15" ht="6" customHeight="1" x14ac:dyDescent="0.15">
      <c r="D19" s="1610"/>
      <c r="E19" s="318"/>
      <c r="F19" s="389"/>
      <c r="G19" s="390"/>
      <c r="H19" s="311"/>
      <c r="I19" s="318"/>
      <c r="J19" s="318"/>
      <c r="K19" s="318"/>
    </row>
    <row r="20" spans="1:15" ht="15" customHeight="1" x14ac:dyDescent="0.35">
      <c r="A20" s="5">
        <f>A12+1</f>
        <v>4</v>
      </c>
      <c r="D20" s="1608" t="s">
        <v>235</v>
      </c>
      <c r="E20" s="5" t="s">
        <v>10</v>
      </c>
      <c r="F20" s="1176" t="str">
        <f>"["&amp;A20&amp;"]"</f>
        <v>[4]</v>
      </c>
      <c r="G20" s="45">
        <v>0.09</v>
      </c>
      <c r="H20" s="45">
        <v>8.2500000000000004E-2</v>
      </c>
      <c r="I20" s="45">
        <v>7.9899999999999999E-2</v>
      </c>
      <c r="J20" s="45">
        <v>7.9899999999999999E-2</v>
      </c>
      <c r="K20" s="45">
        <v>9.5000000000000001E-2</v>
      </c>
    </row>
    <row r="21" spans="1:15" ht="15" customHeight="1" x14ac:dyDescent="0.35">
      <c r="A21" s="5">
        <f>A20+1</f>
        <v>5</v>
      </c>
      <c r="D21" s="1606" t="s">
        <v>495</v>
      </c>
      <c r="E21" s="5" t="s">
        <v>10</v>
      </c>
      <c r="F21" s="1176" t="str">
        <f>"["&amp;A21&amp;"]"</f>
        <v>[5]</v>
      </c>
      <c r="G21" s="45">
        <v>0</v>
      </c>
      <c r="H21" s="45">
        <v>0</v>
      </c>
      <c r="I21" s="45">
        <v>0</v>
      </c>
      <c r="J21" s="45">
        <v>0</v>
      </c>
      <c r="K21" s="45">
        <v>6.25E-2</v>
      </c>
    </row>
    <row r="22" spans="1:15" ht="6" customHeight="1" thickBot="1" x14ac:dyDescent="0.2">
      <c r="D22" s="1373"/>
      <c r="E22" s="1373"/>
      <c r="F22" s="1373"/>
      <c r="G22" s="1373"/>
      <c r="H22" s="1373"/>
      <c r="I22" s="1156"/>
      <c r="J22" s="1373"/>
      <c r="K22" s="1373"/>
      <c r="L22" s="1193"/>
    </row>
    <row r="23" spans="1:15" ht="6" customHeight="1" thickTop="1" x14ac:dyDescent="0.15">
      <c r="D23" s="1193"/>
      <c r="E23" s="1193"/>
      <c r="F23" s="1193"/>
      <c r="G23" s="1193"/>
      <c r="H23" s="1193"/>
      <c r="I23" s="1154"/>
      <c r="J23" s="1193"/>
      <c r="K23" s="1193"/>
      <c r="L23" s="1193"/>
    </row>
    <row r="24" spans="1:15" ht="15" customHeight="1" x14ac:dyDescent="0.35">
      <c r="D24" s="307" t="s">
        <v>50</v>
      </c>
      <c r="E24"/>
      <c r="F24"/>
      <c r="G24"/>
      <c r="H24"/>
      <c r="J24"/>
      <c r="K24"/>
      <c r="L24"/>
      <c r="M24"/>
      <c r="N24"/>
    </row>
    <row r="25" spans="1:15" ht="15" customHeight="1" x14ac:dyDescent="0.35">
      <c r="D25" s="404" t="s">
        <v>679</v>
      </c>
      <c r="E25"/>
      <c r="F25"/>
      <c r="G25"/>
      <c r="H25"/>
      <c r="J25"/>
      <c r="K25"/>
      <c r="L25"/>
      <c r="M25"/>
      <c r="N25"/>
    </row>
    <row r="26" spans="1:15" ht="15" customHeight="1" x14ac:dyDescent="0.35">
      <c r="D26" s="93" t="str">
        <f>F8&amp;": Brattle, 2022 PJM CONE Report. Verified for 2025 by S&amp;L."</f>
        <v>[1]: Brattle, 2022 PJM CONE Report. Verified for 2025 by S&amp;L.</v>
      </c>
      <c r="E26" s="82"/>
      <c r="F26" s="82"/>
      <c r="G26" s="82"/>
      <c r="H26" s="82"/>
      <c r="I26" s="82"/>
      <c r="J26" s="82"/>
      <c r="K26" s="82"/>
      <c r="L26" s="82"/>
      <c r="M26" s="82"/>
      <c r="N26" s="82"/>
      <c r="O26"/>
    </row>
    <row r="27" spans="1:15" ht="15" customHeight="1" x14ac:dyDescent="0.35">
      <c r="D27" s="93" t="str">
        <f>$F9&amp;": 3-month debt yield for corporates with a BB credit rating, S&amp;P Capital IQ as of 02/19/2025."</f>
        <v>[2]: 3-month debt yield for corporates with a BB credit rating, S&amp;P Capital IQ as of 02/19/2025.</v>
      </c>
      <c r="E27" s="82"/>
      <c r="F27" s="82"/>
      <c r="G27" s="82"/>
      <c r="H27" s="82"/>
      <c r="I27" s="82"/>
      <c r="J27" s="82"/>
      <c r="K27" s="82"/>
      <c r="L27" s="82"/>
      <c r="M27" s="82"/>
      <c r="N27" s="82"/>
      <c r="O27"/>
    </row>
    <row r="28" spans="1:15" ht="15" customHeight="1" x14ac:dyDescent="0.35">
      <c r="D28" s="93" t="str">
        <f>$F12&amp;": 26 U.S. Code § 11(b)."</f>
        <v>[3]: 26 U.S. Code § 11(b).</v>
      </c>
      <c r="E28" s="82"/>
      <c r="F28" s="82"/>
      <c r="G28" s="82"/>
      <c r="H28" s="82"/>
      <c r="I28" s="82"/>
      <c r="J28" s="82"/>
      <c r="K28" s="82"/>
      <c r="L28" s="82"/>
      <c r="M28" s="82"/>
      <c r="N28" s="82"/>
      <c r="O28"/>
    </row>
    <row r="29" spans="1:15" ht="15" customHeight="1" x14ac:dyDescent="0.35">
      <c r="D29" s="93" t="str">
        <f>$F20&amp;": Tax Foundation, 'State Corporate Income Tax Rates and Brackets,' 2025."</f>
        <v>[4]: Tax Foundation, 'State Corporate Income Tax Rates and Brackets,' 2025.</v>
      </c>
      <c r="E29" s="82"/>
      <c r="F29" s="82"/>
      <c r="G29" s="82"/>
      <c r="H29" s="82"/>
      <c r="I29" s="82"/>
      <c r="J29" s="82"/>
      <c r="K29" s="82"/>
      <c r="L29" s="1744"/>
      <c r="M29" s="82"/>
      <c r="N29" s="82"/>
      <c r="O29"/>
    </row>
    <row r="30" spans="1:15" ht="15" customHeight="1" x14ac:dyDescent="0.35">
      <c r="D30" s="93" t="str">
        <f>F21&amp;": New Jersey: NJ Rev Stat § 54:32B-8.13 (2023)."</f>
        <v>[5]: New Jersey: NJ Rev Stat § 54:32B-8.13 (2023).</v>
      </c>
      <c r="E30" s="2155"/>
      <c r="F30" s="2155"/>
      <c r="G30" s="2155"/>
      <c r="H30" s="26"/>
      <c r="I30" s="82"/>
      <c r="J30" s="26"/>
      <c r="K30" s="26"/>
      <c r="L30" s="132"/>
      <c r="M30" s="26"/>
      <c r="N30" s="26"/>
    </row>
    <row r="31" spans="1:15" ht="15" customHeight="1" x14ac:dyDescent="0.35">
      <c r="D31" s="2169" t="s">
        <v>695</v>
      </c>
      <c r="E31" s="2158"/>
      <c r="F31" s="2158"/>
      <c r="G31" s="2158"/>
      <c r="H31" s="2158"/>
      <c r="I31" s="2158"/>
      <c r="J31" s="2158"/>
      <c r="K31" s="2158"/>
      <c r="L31" s="2158"/>
      <c r="M31" s="2158"/>
      <c r="N31" s="2156"/>
    </row>
    <row r="32" spans="1:15" ht="15" customHeight="1" x14ac:dyDescent="0.35">
      <c r="D32" s="2169" t="s">
        <v>694</v>
      </c>
      <c r="E32" s="2169"/>
      <c r="F32" s="2169"/>
      <c r="G32" s="2169"/>
      <c r="H32" s="2169"/>
      <c r="I32" s="2169"/>
      <c r="J32" s="2169"/>
      <c r="K32" s="2169"/>
      <c r="L32" s="2169"/>
      <c r="M32" s="2169"/>
      <c r="N32" s="2169"/>
    </row>
    <row r="33" spans="4:14" ht="15" customHeight="1" x14ac:dyDescent="0.35">
      <c r="D33" s="2169" t="s">
        <v>691</v>
      </c>
      <c r="E33" s="2158"/>
      <c r="F33" s="2158"/>
      <c r="G33" s="2158"/>
      <c r="H33" s="2158"/>
      <c r="I33" s="2158"/>
      <c r="J33" s="2158"/>
      <c r="K33" s="2158"/>
      <c r="L33" s="2158"/>
      <c r="M33" s="2158"/>
      <c r="N33" s="2158"/>
    </row>
    <row r="34" spans="4:14" ht="15" customHeight="1" x14ac:dyDescent="0.35">
      <c r="D34" s="2169"/>
      <c r="E34" s="2158"/>
      <c r="F34" s="2158"/>
      <c r="G34" s="2158"/>
      <c r="H34" s="2158"/>
      <c r="I34" s="2158"/>
      <c r="J34" s="2158"/>
      <c r="K34" s="2158"/>
      <c r="L34" s="2158"/>
      <c r="M34" s="2158"/>
      <c r="N34" s="2158"/>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98E3-FF7B-4048-8F0F-655E8DC798F5}">
  <sheetPr codeName="Sheet33">
    <pageSetUpPr autoPageBreaks="0"/>
  </sheetPr>
  <dimension ref="A1:I26"/>
  <sheetViews>
    <sheetView showGridLines="0" zoomScale="70" zoomScaleNormal="70" workbookViewId="0"/>
  </sheetViews>
  <sheetFormatPr defaultColWidth="8.7265625" defaultRowHeight="15" customHeight="1" x14ac:dyDescent="0.35"/>
  <cols>
    <col min="1" max="3" width="13.54296875" style="5" customWidth="1"/>
    <col min="4" max="4" width="10.54296875" style="5" bestFit="1" customWidth="1"/>
    <col min="5" max="5" width="12.1796875" style="5" bestFit="1" customWidth="1"/>
    <col min="6" max="6" width="19.54296875" style="5" customWidth="1"/>
    <col min="7" max="7" width="12.54296875" style="5" bestFit="1" customWidth="1"/>
    <col min="8" max="16384" width="8.7265625" style="5"/>
  </cols>
  <sheetData>
    <row r="1" spans="1:9" s="1" customFormat="1" ht="15" customHeight="1" x14ac:dyDescent="0.35">
      <c r="A1" s="81" t="s">
        <v>275</v>
      </c>
      <c r="E1" s="1">
        <v>65</v>
      </c>
      <c r="F1" s="1">
        <f>E1+1</f>
        <v>66</v>
      </c>
      <c r="G1" s="1">
        <f>F1+1</f>
        <v>67</v>
      </c>
    </row>
    <row r="2" spans="1:9" s="1" customFormat="1" ht="15" customHeight="1" x14ac:dyDescent="0.35">
      <c r="C2" s="87"/>
      <c r="D2" s="87"/>
      <c r="E2" s="87"/>
      <c r="F2" s="87"/>
      <c r="G2" s="87"/>
      <c r="H2" s="87"/>
      <c r="I2" s="87"/>
    </row>
    <row r="3" spans="1:9" s="1" customFormat="1" ht="15" customHeight="1" x14ac:dyDescent="0.35">
      <c r="C3" s="87"/>
      <c r="D3" s="88" t="str">
        <f>LEFT($D4, FIND(":",$D4)-1)</f>
        <v>Table C2</v>
      </c>
      <c r="E3" s="87"/>
      <c r="F3" s="87"/>
      <c r="G3" s="87"/>
      <c r="H3" s="87"/>
      <c r="I3" s="87"/>
    </row>
    <row r="4" spans="1:9" s="1" customFormat="1" ht="15" customHeight="1" x14ac:dyDescent="0.35">
      <c r="C4" s="87"/>
      <c r="D4" s="86" t="str">
        <f>ToC!$J$41</f>
        <v>Table C2: Land Cost</v>
      </c>
      <c r="E4" s="87"/>
      <c r="F4" s="87"/>
      <c r="G4" s="87"/>
      <c r="H4" s="87"/>
      <c r="I4" s="87"/>
    </row>
    <row r="5" spans="1:9" s="1" customFormat="1" ht="6" customHeight="1" thickBot="1" x14ac:dyDescent="0.4">
      <c r="C5" s="87"/>
      <c r="D5" s="1583"/>
      <c r="E5" s="1583"/>
      <c r="F5" s="1583"/>
      <c r="G5" s="1583"/>
      <c r="H5" s="87"/>
      <c r="I5" s="87"/>
    </row>
    <row r="6" spans="1:9" s="1" customFormat="1" ht="6" customHeight="1" thickTop="1" x14ac:dyDescent="0.35">
      <c r="C6" s="87"/>
      <c r="D6" s="82"/>
      <c r="E6" s="82"/>
      <c r="F6" s="82"/>
      <c r="G6" s="82"/>
      <c r="H6" s="87"/>
      <c r="I6" s="87"/>
    </row>
    <row r="7" spans="1:9" s="1" customFormat="1" ht="15" customHeight="1" x14ac:dyDescent="0.35">
      <c r="C7" s="87"/>
      <c r="D7" s="1584" t="s">
        <v>287</v>
      </c>
      <c r="E7" s="1585" t="s">
        <v>233</v>
      </c>
      <c r="F7" s="1585" t="s">
        <v>351</v>
      </c>
      <c r="G7" s="1585" t="s">
        <v>352</v>
      </c>
      <c r="H7" s="87"/>
      <c r="I7" s="87"/>
    </row>
    <row r="8" spans="1:9" s="1" customFormat="1" ht="15" customHeight="1" x14ac:dyDescent="0.35">
      <c r="C8" s="87"/>
      <c r="D8" s="1584"/>
      <c r="E8" s="1206" t="s">
        <v>345</v>
      </c>
      <c r="F8" s="2092" t="s">
        <v>377</v>
      </c>
      <c r="G8" s="2092" t="s">
        <v>377</v>
      </c>
      <c r="H8" s="87"/>
      <c r="I8" s="87"/>
    </row>
    <row r="9" spans="1:9" s="1" customFormat="1" ht="15" customHeight="1" x14ac:dyDescent="0.35">
      <c r="C9" s="87"/>
      <c r="D9" s="140"/>
      <c r="E9" s="1586" t="str">
        <f>"["&amp;CHAR(E1)&amp;"]"</f>
        <v>[A]</v>
      </c>
      <c r="F9" s="1586" t="str">
        <f>"["&amp;CHAR(F1)&amp;"]"</f>
        <v>[B]</v>
      </c>
      <c r="G9" s="1586" t="str">
        <f>"["&amp;CHAR(G1)&amp;"]"</f>
        <v>[C]</v>
      </c>
      <c r="H9" s="87"/>
      <c r="I9" s="87"/>
    </row>
    <row r="10" spans="1:9" ht="6" customHeight="1" x14ac:dyDescent="0.35">
      <c r="C10" s="26"/>
      <c r="D10" s="1587"/>
      <c r="E10" s="1588"/>
      <c r="F10" s="1588"/>
      <c r="G10" s="1588"/>
      <c r="H10" s="26"/>
      <c r="I10" s="26"/>
    </row>
    <row r="11" spans="1:9" ht="6" customHeight="1" x14ac:dyDescent="0.35">
      <c r="C11" s="26"/>
      <c r="D11" s="82"/>
      <c r="E11" s="95"/>
      <c r="F11" s="95"/>
      <c r="G11" s="95"/>
      <c r="H11" s="26"/>
      <c r="I11" s="26"/>
    </row>
    <row r="12" spans="1:9" ht="15" customHeight="1" x14ac:dyDescent="0.35">
      <c r="C12" s="26"/>
      <c r="D12" s="1324" t="s">
        <v>288</v>
      </c>
      <c r="E12" s="95">
        <v>5</v>
      </c>
      <c r="F12" s="95" t="s">
        <v>346</v>
      </c>
      <c r="G12" s="1589">
        <v>106416.85429398521</v>
      </c>
      <c r="H12" s="26"/>
      <c r="I12" s="26"/>
    </row>
    <row r="13" spans="1:9" ht="15" customHeight="1" x14ac:dyDescent="0.35">
      <c r="C13" s="26"/>
      <c r="D13" s="1590" t="s">
        <v>289</v>
      </c>
      <c r="E13" s="95">
        <v>3</v>
      </c>
      <c r="F13" s="95" t="s">
        <v>347</v>
      </c>
      <c r="G13" s="1589">
        <v>100181.66089965397</v>
      </c>
      <c r="H13" s="26"/>
      <c r="I13" s="26"/>
    </row>
    <row r="14" spans="1:9" ht="15" customHeight="1" x14ac:dyDescent="0.35">
      <c r="C14" s="26"/>
      <c r="D14" s="1324" t="s">
        <v>290</v>
      </c>
      <c r="E14" s="95">
        <v>7</v>
      </c>
      <c r="F14" s="95" t="s">
        <v>348</v>
      </c>
      <c r="G14" s="1589">
        <v>43098.907256934712</v>
      </c>
      <c r="H14" s="1591"/>
      <c r="I14" s="26"/>
    </row>
    <row r="15" spans="1:9" ht="15" customHeight="1" x14ac:dyDescent="0.35">
      <c r="C15" s="26"/>
      <c r="D15" s="1324" t="s">
        <v>291</v>
      </c>
      <c r="E15" s="95">
        <v>4</v>
      </c>
      <c r="F15" s="95" t="s">
        <v>349</v>
      </c>
      <c r="G15" s="1589">
        <v>91826.635090896438</v>
      </c>
      <c r="H15" s="26"/>
      <c r="I15" s="26"/>
    </row>
    <row r="16" spans="1:9" ht="15" customHeight="1" x14ac:dyDescent="0.35">
      <c r="C16" s="26"/>
      <c r="D16" s="1324" t="s">
        <v>299</v>
      </c>
      <c r="E16" s="95">
        <v>7</v>
      </c>
      <c r="F16" s="95" t="s">
        <v>350</v>
      </c>
      <c r="G16" s="1589">
        <v>117924.21041579169</v>
      </c>
      <c r="H16" s="26"/>
      <c r="I16" s="26"/>
    </row>
    <row r="17" spans="3:9" ht="6" customHeight="1" thickBot="1" x14ac:dyDescent="0.4">
      <c r="C17" s="26"/>
      <c r="D17" s="1583"/>
      <c r="E17" s="1583"/>
      <c r="F17" s="1583"/>
      <c r="G17" s="1583"/>
      <c r="H17" s="26"/>
      <c r="I17" s="26"/>
    </row>
    <row r="18" spans="3:9" ht="6" customHeight="1" thickTop="1" x14ac:dyDescent="0.35">
      <c r="C18" s="26"/>
      <c r="D18" s="82"/>
      <c r="E18" s="82"/>
      <c r="F18" s="82"/>
      <c r="G18" s="82"/>
      <c r="H18" s="26"/>
      <c r="I18" s="26"/>
    </row>
    <row r="19" spans="3:9" ht="14.5" x14ac:dyDescent="0.35">
      <c r="C19" s="26"/>
      <c r="D19" s="2177" t="s">
        <v>50</v>
      </c>
      <c r="E19" s="2173"/>
      <c r="F19" s="2173"/>
      <c r="G19" s="2173"/>
      <c r="H19" s="26"/>
      <c r="I19" s="26"/>
    </row>
    <row r="20" spans="3:9" ht="14.5" x14ac:dyDescent="0.35">
      <c r="C20" s="26"/>
      <c r="D20" s="404" t="s">
        <v>679</v>
      </c>
      <c r="E20" s="2173"/>
      <c r="F20" s="2173"/>
      <c r="G20" s="2173"/>
      <c r="H20" s="26"/>
      <c r="I20" s="26"/>
    </row>
    <row r="21" spans="3:9" ht="15" customHeight="1" x14ac:dyDescent="0.35">
      <c r="C21" s="26"/>
      <c r="D21" s="2207" t="str">
        <f>E9&amp;" to "&amp;G9&amp;": Land listing prices from LoopNet's Commercial Real Estate Listings and LandSearch as of November 2024."</f>
        <v>[A] to [C]: Land listing prices from LoopNet's Commercial Real Estate Listings and LandSearch as of November 2024.</v>
      </c>
      <c r="E21" s="2207"/>
      <c r="F21" s="2207"/>
      <c r="G21" s="2207"/>
      <c r="H21" s="26"/>
      <c r="I21" s="26"/>
    </row>
    <row r="22" spans="3:9" ht="15" customHeight="1" x14ac:dyDescent="0.35">
      <c r="C22" s="26"/>
      <c r="D22" s="2207"/>
      <c r="E22" s="2207"/>
      <c r="F22" s="2207"/>
      <c r="G22" s="2207"/>
      <c r="H22" s="26"/>
      <c r="I22" s="26"/>
    </row>
    <row r="23" spans="3:9" ht="15" customHeight="1" x14ac:dyDescent="0.35">
      <c r="C23" s="26"/>
      <c r="D23" s="2207"/>
      <c r="E23" s="2207"/>
      <c r="F23" s="2207"/>
      <c r="G23" s="2207"/>
      <c r="H23" s="26"/>
      <c r="I23" s="26"/>
    </row>
    <row r="24" spans="3:9" ht="15" customHeight="1" x14ac:dyDescent="0.35">
      <c r="C24" s="26"/>
      <c r="D24" s="26"/>
      <c r="E24" s="26"/>
      <c r="F24" s="26"/>
      <c r="G24" s="26"/>
      <c r="H24" s="26"/>
      <c r="I24" s="26"/>
    </row>
    <row r="25" spans="3:9" ht="15" customHeight="1" x14ac:dyDescent="0.35">
      <c r="C25" s="26"/>
      <c r="D25" s="26"/>
      <c r="E25" s="26"/>
      <c r="F25" s="26"/>
      <c r="G25" s="26"/>
      <c r="H25" s="26"/>
      <c r="I25" s="26"/>
    </row>
    <row r="26" spans="3:9" ht="15" customHeight="1" x14ac:dyDescent="0.35">
      <c r="C26" s="26"/>
      <c r="D26" s="26"/>
      <c r="E26" s="26"/>
      <c r="F26" s="26"/>
      <c r="G26" s="26"/>
      <c r="H26" s="26"/>
      <c r="I26" s="26"/>
    </row>
  </sheetData>
  <mergeCells count="1">
    <mergeCell ref="D21:G23"/>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96C9-0248-43A5-8A07-1052A127A837}">
  <sheetPr codeName="Sheet34">
    <pageSetUpPr autoPageBreaks="0"/>
  </sheetPr>
  <dimension ref="A1:T70"/>
  <sheetViews>
    <sheetView showGridLines="0" zoomScale="70" zoomScaleNormal="70" workbookViewId="0"/>
  </sheetViews>
  <sheetFormatPr defaultColWidth="8.7265625" defaultRowHeight="15" customHeight="1" x14ac:dyDescent="0.35"/>
  <cols>
    <col min="1" max="3" width="13.54296875" style="5" customWidth="1"/>
    <col min="4" max="4" width="7.54296875" style="5" customWidth="1"/>
    <col min="5" max="10" width="9.26953125" style="5" bestFit="1" customWidth="1"/>
    <col min="11" max="11" width="1.54296875" style="5" customWidth="1"/>
    <col min="12" max="17" width="9.26953125" style="5" bestFit="1" customWidth="1"/>
    <col min="18" max="16384" width="8.7265625" style="5"/>
  </cols>
  <sheetData>
    <row r="1" spans="1:20" s="1" customFormat="1" ht="15" customHeight="1" x14ac:dyDescent="0.35">
      <c r="A1" s="81" t="s">
        <v>275</v>
      </c>
      <c r="E1" s="1">
        <f>65</f>
        <v>65</v>
      </c>
      <c r="F1" s="1">
        <f>E1+1</f>
        <v>66</v>
      </c>
      <c r="G1" s="1">
        <f>F1+1</f>
        <v>67</v>
      </c>
      <c r="H1" s="1">
        <f t="shared" ref="H1:Q1" si="0">G1+1</f>
        <v>68</v>
      </c>
      <c r="I1" s="1">
        <f t="shared" si="0"/>
        <v>69</v>
      </c>
      <c r="J1" s="1">
        <f t="shared" si="0"/>
        <v>70</v>
      </c>
      <c r="L1" s="1">
        <f>J1+1</f>
        <v>71</v>
      </c>
      <c r="M1" s="1">
        <f t="shared" si="0"/>
        <v>72</v>
      </c>
      <c r="N1" s="1">
        <f t="shared" si="0"/>
        <v>73</v>
      </c>
      <c r="O1" s="1">
        <f t="shared" si="0"/>
        <v>74</v>
      </c>
      <c r="P1" s="1">
        <f t="shared" si="0"/>
        <v>75</v>
      </c>
      <c r="Q1" s="1">
        <f t="shared" si="0"/>
        <v>76</v>
      </c>
    </row>
    <row r="2" spans="1:20" s="1" customFormat="1" ht="15" customHeight="1" x14ac:dyDescent="0.35"/>
    <row r="3" spans="1:20" s="1" customFormat="1" ht="15" customHeight="1" x14ac:dyDescent="0.35">
      <c r="D3" s="9" t="str">
        <f>LEFT($D4, FIND(":",$D4)-1)</f>
        <v>Table C3</v>
      </c>
    </row>
    <row r="4" spans="1:20" s="1" customFormat="1" ht="15" customHeight="1" x14ac:dyDescent="0.35">
      <c r="D4" s="2" t="str">
        <f>ToC!$J$42</f>
        <v>Table C3: Tax Depreciation for Property</v>
      </c>
    </row>
    <row r="5" spans="1:20" s="1" customFormat="1" ht="6" customHeight="1" thickBot="1" x14ac:dyDescent="0.4">
      <c r="D5" s="3"/>
      <c r="E5" s="3"/>
      <c r="F5" s="3"/>
      <c r="G5" s="3"/>
      <c r="H5" s="3"/>
      <c r="I5" s="3"/>
      <c r="J5" s="3"/>
      <c r="K5" s="3"/>
      <c r="L5" s="3"/>
      <c r="M5" s="3"/>
      <c r="N5" s="3"/>
      <c r="O5" s="3"/>
      <c r="P5" s="3"/>
      <c r="Q5" s="3"/>
    </row>
    <row r="6" spans="1:20" s="1" customFormat="1" ht="6" customHeight="1" thickTop="1" x14ac:dyDescent="0.35"/>
    <row r="7" spans="1:20" s="1" customFormat="1" ht="15" customHeight="1" x14ac:dyDescent="0.35">
      <c r="D7" s="5" t="s">
        <v>27</v>
      </c>
      <c r="E7" s="2208" t="s">
        <v>28</v>
      </c>
      <c r="F7" s="2208"/>
      <c r="G7" s="2208"/>
      <c r="H7" s="2208"/>
      <c r="I7" s="2208"/>
      <c r="J7" s="2208"/>
      <c r="K7" s="14"/>
      <c r="L7" s="2208" t="s">
        <v>35</v>
      </c>
      <c r="M7" s="2208"/>
      <c r="N7" s="2208"/>
      <c r="O7" s="2208"/>
      <c r="P7" s="2208"/>
      <c r="Q7" s="2208"/>
    </row>
    <row r="8" spans="1:20" ht="15" customHeight="1" x14ac:dyDescent="0.35">
      <c r="E8" s="194" t="s">
        <v>29</v>
      </c>
      <c r="F8" s="194" t="s">
        <v>30</v>
      </c>
      <c r="G8" s="194" t="s">
        <v>31</v>
      </c>
      <c r="H8" s="194" t="s">
        <v>32</v>
      </c>
      <c r="I8" s="194" t="s">
        <v>33</v>
      </c>
      <c r="J8" s="194" t="s">
        <v>34</v>
      </c>
      <c r="K8" s="12"/>
      <c r="L8" s="194" t="s">
        <v>30</v>
      </c>
      <c r="M8" s="194" t="s">
        <v>32</v>
      </c>
      <c r="N8" s="194" t="s">
        <v>34</v>
      </c>
      <c r="O8" s="194" t="s">
        <v>36</v>
      </c>
      <c r="P8" s="194" t="s">
        <v>37</v>
      </c>
      <c r="Q8" s="194" t="s">
        <v>38</v>
      </c>
    </row>
    <row r="9" spans="1:20" ht="15" customHeight="1" x14ac:dyDescent="0.35">
      <c r="E9" s="12" t="str">
        <f t="shared" ref="E9:J9" si="1">"["&amp;CHAR(E1)&amp;"]"</f>
        <v>[A]</v>
      </c>
      <c r="F9" s="12" t="str">
        <f t="shared" si="1"/>
        <v>[B]</v>
      </c>
      <c r="G9" s="12" t="str">
        <f t="shared" si="1"/>
        <v>[C]</v>
      </c>
      <c r="H9" s="12" t="str">
        <f t="shared" si="1"/>
        <v>[D]</v>
      </c>
      <c r="I9" s="12" t="str">
        <f t="shared" si="1"/>
        <v>[E]</v>
      </c>
      <c r="J9" s="12" t="str">
        <f t="shared" si="1"/>
        <v>[F]</v>
      </c>
      <c r="K9" s="12"/>
      <c r="L9" s="12" t="str">
        <f t="shared" ref="L9:Q9" si="2">"["&amp;CHAR(L1)&amp;"]"</f>
        <v>[G]</v>
      </c>
      <c r="M9" s="12" t="str">
        <f t="shared" si="2"/>
        <v>[H]</v>
      </c>
      <c r="N9" s="12" t="str">
        <f t="shared" si="2"/>
        <v>[I]</v>
      </c>
      <c r="O9" s="12" t="str">
        <f t="shared" si="2"/>
        <v>[J]</v>
      </c>
      <c r="P9" s="12" t="str">
        <f t="shared" si="2"/>
        <v>[K]</v>
      </c>
      <c r="Q9" s="12" t="str">
        <f t="shared" si="2"/>
        <v>[L]</v>
      </c>
      <c r="T9"/>
    </row>
    <row r="10" spans="1:20" ht="15" customHeight="1" x14ac:dyDescent="0.35">
      <c r="E10" s="12" t="s">
        <v>39</v>
      </c>
      <c r="F10" s="12" t="s">
        <v>39</v>
      </c>
      <c r="G10" s="12" t="s">
        <v>39</v>
      </c>
      <c r="H10" s="12" t="s">
        <v>39</v>
      </c>
      <c r="I10" s="12" t="s">
        <v>39</v>
      </c>
      <c r="J10" s="12" t="s">
        <v>39</v>
      </c>
      <c r="K10" s="12"/>
      <c r="L10" s="12" t="s">
        <v>39</v>
      </c>
      <c r="M10" s="12" t="s">
        <v>39</v>
      </c>
      <c r="N10" s="12" t="s">
        <v>39</v>
      </c>
      <c r="O10" s="12" t="s">
        <v>39</v>
      </c>
      <c r="P10" s="12" t="s">
        <v>39</v>
      </c>
      <c r="Q10" s="12" t="s">
        <v>39</v>
      </c>
    </row>
    <row r="11" spans="1:20" ht="6" customHeight="1" x14ac:dyDescent="0.35">
      <c r="D11" s="10"/>
      <c r="E11" s="10"/>
      <c r="F11" s="10"/>
      <c r="G11" s="10"/>
      <c r="H11" s="10"/>
      <c r="I11" s="10"/>
      <c r="J11" s="10"/>
      <c r="K11" s="10"/>
      <c r="L11" s="10"/>
      <c r="M11" s="10"/>
      <c r="N11" s="10"/>
      <c r="O11" s="10"/>
      <c r="P11" s="10"/>
      <c r="Q11" s="10"/>
    </row>
    <row r="12" spans="1:20" ht="6" customHeight="1" x14ac:dyDescent="0.35"/>
    <row r="13" spans="1:20" ht="15" customHeight="1" x14ac:dyDescent="0.35">
      <c r="D13" s="1177">
        <f>1</f>
        <v>1</v>
      </c>
      <c r="E13" s="191">
        <f>41.67/100</f>
        <v>0.41670000000000001</v>
      </c>
      <c r="F13" s="191">
        <f>25/100</f>
        <v>0.25</v>
      </c>
      <c r="G13" s="190">
        <f>17.85/100</f>
        <v>0.17850000000000002</v>
      </c>
      <c r="H13" s="190">
        <f>12.5/100</f>
        <v>0.125</v>
      </c>
      <c r="I13" s="190">
        <f>6.25/100</f>
        <v>6.25E-2</v>
      </c>
      <c r="J13" s="190">
        <f>4.688/100</f>
        <v>4.6879999999999998E-2</v>
      </c>
      <c r="L13" s="192">
        <v>0.125</v>
      </c>
      <c r="M13" s="45">
        <v>6.25E-2</v>
      </c>
      <c r="N13" s="45">
        <f>3.125%</f>
        <v>3.125E-2</v>
      </c>
      <c r="O13" s="45">
        <f>2.083%</f>
        <v>2.0830000000000001E-2</v>
      </c>
      <c r="P13" s="45">
        <f>1.563%</f>
        <v>1.5629999999999998E-2</v>
      </c>
      <c r="Q13" s="45">
        <f>1.25%</f>
        <v>1.2500000000000001E-2</v>
      </c>
    </row>
    <row r="14" spans="1:20" ht="15" customHeight="1" x14ac:dyDescent="0.35">
      <c r="D14" s="13">
        <f>D13+1</f>
        <v>2</v>
      </c>
      <c r="E14" s="191">
        <f>38.89/100</f>
        <v>0.38890000000000002</v>
      </c>
      <c r="F14" s="191">
        <f>30/100</f>
        <v>0.3</v>
      </c>
      <c r="G14" s="190">
        <f>23.47/100</f>
        <v>0.23469999999999999</v>
      </c>
      <c r="H14" s="190">
        <f>17.5/100</f>
        <v>0.17499999999999999</v>
      </c>
      <c r="I14" s="190">
        <f>9.38/100</f>
        <v>9.3800000000000008E-2</v>
      </c>
      <c r="J14" s="190">
        <f>7.148/100</f>
        <v>7.1480000000000002E-2</v>
      </c>
      <c r="L14" s="193">
        <f>20%</f>
        <v>0.2</v>
      </c>
      <c r="M14" s="45">
        <f>10%</f>
        <v>0.1</v>
      </c>
      <c r="N14" s="45">
        <f>5%</f>
        <v>0.05</v>
      </c>
      <c r="O14" s="45">
        <f>(100/3000)</f>
        <v>3.3333333333333333E-2</v>
      </c>
      <c r="P14" s="45">
        <f>2.5%</f>
        <v>2.5000000000000001E-2</v>
      </c>
      <c r="Q14" s="45">
        <f>2%</f>
        <v>0.02</v>
      </c>
    </row>
    <row r="15" spans="1:20" ht="15" customHeight="1" x14ac:dyDescent="0.35">
      <c r="D15" s="13">
        <f t="shared" ref="D15:D63" si="3">D14+1</f>
        <v>3</v>
      </c>
      <c r="E15" s="191">
        <f>14.14/100</f>
        <v>0.1414</v>
      </c>
      <c r="F15" s="191">
        <f>18/100</f>
        <v>0.18</v>
      </c>
      <c r="G15" s="190">
        <f>16.76/100</f>
        <v>0.16760000000000003</v>
      </c>
      <c r="H15" s="190">
        <f>14/100</f>
        <v>0.14000000000000001</v>
      </c>
      <c r="I15" s="190">
        <f>8.44/100</f>
        <v>8.4399999999999989E-2</v>
      </c>
      <c r="J15" s="190">
        <f>6.612/100</f>
        <v>6.6119999999999998E-2</v>
      </c>
      <c r="L15" s="193">
        <f>20%</f>
        <v>0.2</v>
      </c>
      <c r="M15" s="45">
        <f>10%</f>
        <v>0.1</v>
      </c>
      <c r="N15" s="45">
        <f>5%</f>
        <v>0.05</v>
      </c>
      <c r="O15" s="45">
        <f t="shared" ref="O15:O42" si="4">(100/3000)</f>
        <v>3.3333333333333333E-2</v>
      </c>
      <c r="P15" s="45">
        <f t="shared" ref="P15:P52" si="5">2.5%</f>
        <v>2.5000000000000001E-2</v>
      </c>
      <c r="Q15" s="45">
        <f>2%</f>
        <v>0.02</v>
      </c>
    </row>
    <row r="16" spans="1:20" ht="15" customHeight="1" x14ac:dyDescent="0.35">
      <c r="D16" s="13">
        <f t="shared" si="3"/>
        <v>4</v>
      </c>
      <c r="E16" s="191">
        <f>5.3/100</f>
        <v>5.2999999999999999E-2</v>
      </c>
      <c r="F16" s="190">
        <f>11.37/100</f>
        <v>0.1137</v>
      </c>
      <c r="G16" s="190">
        <f>11.97/100</f>
        <v>0.1197</v>
      </c>
      <c r="H16" s="190">
        <f>11.2/100</f>
        <v>0.11199999999999999</v>
      </c>
      <c r="I16" s="190">
        <f>7.59/100</f>
        <v>7.5899999999999995E-2</v>
      </c>
      <c r="J16" s="190">
        <f>6.116/100</f>
        <v>6.1159999999999999E-2</v>
      </c>
      <c r="L16" s="193">
        <f>20%</f>
        <v>0.2</v>
      </c>
      <c r="M16" s="45">
        <f>10%</f>
        <v>0.1</v>
      </c>
      <c r="N16" s="45">
        <f>5%</f>
        <v>0.05</v>
      </c>
      <c r="O16" s="45">
        <f t="shared" si="4"/>
        <v>3.3333333333333333E-2</v>
      </c>
      <c r="P16" s="45">
        <f t="shared" si="5"/>
        <v>2.5000000000000001E-2</v>
      </c>
      <c r="Q16" s="45">
        <f>2%</f>
        <v>0.02</v>
      </c>
    </row>
    <row r="17" spans="4:17" ht="15" customHeight="1" x14ac:dyDescent="0.35">
      <c r="D17" s="13">
        <f t="shared" si="3"/>
        <v>5</v>
      </c>
      <c r="E17" s="191"/>
      <c r="F17" s="190">
        <f>11.37/100</f>
        <v>0.1137</v>
      </c>
      <c r="G17" s="190">
        <f>8.87/100</f>
        <v>8.8699999999999987E-2</v>
      </c>
      <c r="H17" s="190">
        <f>8.96/100</f>
        <v>8.9600000000000013E-2</v>
      </c>
      <c r="I17" s="190">
        <f>6.83/100</f>
        <v>6.83E-2</v>
      </c>
      <c r="J17" s="190">
        <f>5.658/100</f>
        <v>5.6580000000000005E-2</v>
      </c>
      <c r="L17" s="193">
        <f>20%</f>
        <v>0.2</v>
      </c>
      <c r="M17" s="45">
        <f>10%</f>
        <v>0.1</v>
      </c>
      <c r="N17" s="45">
        <f>5%</f>
        <v>0.05</v>
      </c>
      <c r="O17" s="45">
        <f t="shared" si="4"/>
        <v>3.3333333333333333E-2</v>
      </c>
      <c r="P17" s="45">
        <f t="shared" si="5"/>
        <v>2.5000000000000001E-2</v>
      </c>
      <c r="Q17" s="45">
        <f>2%</f>
        <v>0.02</v>
      </c>
    </row>
    <row r="18" spans="4:17" ht="15" customHeight="1" x14ac:dyDescent="0.35">
      <c r="D18" s="13">
        <f t="shared" si="3"/>
        <v>6</v>
      </c>
      <c r="E18" s="191"/>
      <c r="F18" s="190">
        <f>4.26/100</f>
        <v>4.2599999999999999E-2</v>
      </c>
      <c r="G18" s="190">
        <f>8.87/100</f>
        <v>8.8699999999999987E-2</v>
      </c>
      <c r="H18" s="190">
        <f>7.17/100</f>
        <v>7.17E-2</v>
      </c>
      <c r="I18" s="190">
        <f>6.15/100</f>
        <v>6.1500000000000006E-2</v>
      </c>
      <c r="J18" s="190">
        <f>5.233/100</f>
        <v>5.2329999999999995E-2</v>
      </c>
      <c r="L18" s="45">
        <f>7.5%</f>
        <v>7.4999999999999997E-2</v>
      </c>
      <c r="M18" s="45">
        <f>10%</f>
        <v>0.1</v>
      </c>
      <c r="N18" s="45">
        <f>5%</f>
        <v>0.05</v>
      </c>
      <c r="O18" s="45">
        <f t="shared" si="4"/>
        <v>3.3333333333333333E-2</v>
      </c>
      <c r="P18" s="45">
        <f t="shared" si="5"/>
        <v>2.5000000000000001E-2</v>
      </c>
      <c r="Q18" s="45">
        <f>2%</f>
        <v>0.02</v>
      </c>
    </row>
    <row r="19" spans="4:17" ht="15" customHeight="1" x14ac:dyDescent="0.35">
      <c r="D19" s="13">
        <f t="shared" si="3"/>
        <v>7</v>
      </c>
      <c r="E19" s="191"/>
      <c r="F19" s="191"/>
      <c r="G19" s="190">
        <f>8.87/100</f>
        <v>8.8699999999999987E-2</v>
      </c>
      <c r="H19" s="190">
        <f>6.55/100</f>
        <v>6.5500000000000003E-2</v>
      </c>
      <c r="I19" s="190">
        <f>5.91/100</f>
        <v>5.91E-2</v>
      </c>
      <c r="J19" s="190">
        <f>4.841/100</f>
        <v>4.8410000000000002E-2</v>
      </c>
      <c r="L19" s="26"/>
      <c r="M19" s="45">
        <f>10%</f>
        <v>0.1</v>
      </c>
      <c r="N19" s="45">
        <f>5%</f>
        <v>0.05</v>
      </c>
      <c r="O19" s="45">
        <f t="shared" si="4"/>
        <v>3.3333333333333333E-2</v>
      </c>
      <c r="P19" s="45">
        <f t="shared" si="5"/>
        <v>2.5000000000000001E-2</v>
      </c>
      <c r="Q19" s="45">
        <f>2%</f>
        <v>0.02</v>
      </c>
    </row>
    <row r="20" spans="4:17" ht="15" customHeight="1" x14ac:dyDescent="0.35">
      <c r="D20" s="13">
        <f t="shared" si="3"/>
        <v>8</v>
      </c>
      <c r="E20" s="191"/>
      <c r="F20" s="191"/>
      <c r="G20" s="190">
        <f>3.34/100</f>
        <v>3.3399999999999999E-2</v>
      </c>
      <c r="H20" s="190">
        <f>6.55/100</f>
        <v>6.5500000000000003E-2</v>
      </c>
      <c r="I20" s="190">
        <f>5.9/100</f>
        <v>5.9000000000000004E-2</v>
      </c>
      <c r="J20" s="190">
        <f>4.478/100</f>
        <v>4.478E-2</v>
      </c>
      <c r="L20" s="26"/>
      <c r="M20" s="45">
        <f>10%</f>
        <v>0.1</v>
      </c>
      <c r="N20" s="45">
        <f>5%</f>
        <v>0.05</v>
      </c>
      <c r="O20" s="45">
        <f t="shared" si="4"/>
        <v>3.3333333333333333E-2</v>
      </c>
      <c r="P20" s="45">
        <f t="shared" si="5"/>
        <v>2.5000000000000001E-2</v>
      </c>
      <c r="Q20" s="45">
        <f>2%</f>
        <v>0.02</v>
      </c>
    </row>
    <row r="21" spans="4:17" ht="15" customHeight="1" x14ac:dyDescent="0.35">
      <c r="D21" s="13">
        <f t="shared" si="3"/>
        <v>9</v>
      </c>
      <c r="E21" s="191"/>
      <c r="F21" s="191"/>
      <c r="G21" s="191"/>
      <c r="H21" s="190">
        <f>6.56/100</f>
        <v>6.5599999999999992E-2</v>
      </c>
      <c r="I21" s="190">
        <f>5.91/100</f>
        <v>5.91E-2</v>
      </c>
      <c r="J21" s="190">
        <f>4.463/100</f>
        <v>4.4630000000000003E-2</v>
      </c>
      <c r="L21" s="26"/>
      <c r="M21" s="45">
        <f>10%</f>
        <v>0.1</v>
      </c>
      <c r="N21" s="45">
        <f>5%</f>
        <v>0.05</v>
      </c>
      <c r="O21" s="45">
        <f t="shared" si="4"/>
        <v>3.3333333333333333E-2</v>
      </c>
      <c r="P21" s="45">
        <f t="shared" si="5"/>
        <v>2.5000000000000001E-2</v>
      </c>
      <c r="Q21" s="45">
        <f>2%</f>
        <v>0.02</v>
      </c>
    </row>
    <row r="22" spans="4:17" ht="15" customHeight="1" x14ac:dyDescent="0.35">
      <c r="D22" s="13">
        <f t="shared" si="3"/>
        <v>10</v>
      </c>
      <c r="E22" s="191"/>
      <c r="F22" s="191"/>
      <c r="G22" s="191"/>
      <c r="H22" s="190">
        <f>6.55/100</f>
        <v>6.5500000000000003E-2</v>
      </c>
      <c r="I22" s="190">
        <f>5.9/100</f>
        <v>5.9000000000000004E-2</v>
      </c>
      <c r="J22" s="190">
        <f t="shared" ref="J22:J32" si="6">4.463/100</f>
        <v>4.4630000000000003E-2</v>
      </c>
      <c r="L22" s="26"/>
      <c r="M22" s="45">
        <f>10%</f>
        <v>0.1</v>
      </c>
      <c r="N22" s="45">
        <f>5%</f>
        <v>0.05</v>
      </c>
      <c r="O22" s="45">
        <f t="shared" si="4"/>
        <v>3.3333333333333333E-2</v>
      </c>
      <c r="P22" s="45">
        <f t="shared" si="5"/>
        <v>2.5000000000000001E-2</v>
      </c>
      <c r="Q22" s="45">
        <f>2%</f>
        <v>0.02</v>
      </c>
    </row>
    <row r="23" spans="4:17" ht="15" customHeight="1" x14ac:dyDescent="0.35">
      <c r="D23" s="13">
        <f t="shared" si="3"/>
        <v>11</v>
      </c>
      <c r="E23" s="191"/>
      <c r="F23" s="191"/>
      <c r="G23" s="191"/>
      <c r="H23" s="190">
        <f>2.46/100</f>
        <v>2.46E-2</v>
      </c>
      <c r="I23" s="190">
        <f>5.91/100</f>
        <v>5.91E-2</v>
      </c>
      <c r="J23" s="190">
        <f t="shared" si="6"/>
        <v>4.4630000000000003E-2</v>
      </c>
      <c r="L23" s="26"/>
      <c r="M23" s="45">
        <f>3.75%</f>
        <v>3.7499999999999999E-2</v>
      </c>
      <c r="N23" s="45">
        <f>5%</f>
        <v>0.05</v>
      </c>
      <c r="O23" s="45">
        <f t="shared" si="4"/>
        <v>3.3333333333333333E-2</v>
      </c>
      <c r="P23" s="45">
        <f t="shared" si="5"/>
        <v>2.5000000000000001E-2</v>
      </c>
      <c r="Q23" s="45">
        <f>2%</f>
        <v>0.02</v>
      </c>
    </row>
    <row r="24" spans="4:17" ht="15" customHeight="1" x14ac:dyDescent="0.35">
      <c r="D24" s="13">
        <f t="shared" si="3"/>
        <v>12</v>
      </c>
      <c r="E24" s="191"/>
      <c r="F24" s="191"/>
      <c r="G24" s="191"/>
      <c r="H24" s="191"/>
      <c r="I24" s="190">
        <f>5.9/100</f>
        <v>5.9000000000000004E-2</v>
      </c>
      <c r="J24" s="190">
        <f t="shared" si="6"/>
        <v>4.4630000000000003E-2</v>
      </c>
      <c r="L24" s="26"/>
      <c r="M24" s="26"/>
      <c r="N24" s="45">
        <f>5%</f>
        <v>0.05</v>
      </c>
      <c r="O24" s="45">
        <f t="shared" si="4"/>
        <v>3.3333333333333333E-2</v>
      </c>
      <c r="P24" s="45">
        <f t="shared" si="5"/>
        <v>2.5000000000000001E-2</v>
      </c>
      <c r="Q24" s="45">
        <f>2%</f>
        <v>0.02</v>
      </c>
    </row>
    <row r="25" spans="4:17" ht="15" customHeight="1" x14ac:dyDescent="0.35">
      <c r="D25" s="13">
        <f t="shared" si="3"/>
        <v>13</v>
      </c>
      <c r="E25" s="191"/>
      <c r="F25" s="191"/>
      <c r="G25" s="191"/>
      <c r="H25" s="191"/>
      <c r="I25" s="190">
        <f>5.91/100</f>
        <v>5.91E-2</v>
      </c>
      <c r="J25" s="190">
        <f t="shared" si="6"/>
        <v>4.4630000000000003E-2</v>
      </c>
      <c r="L25" s="26"/>
      <c r="M25" s="26"/>
      <c r="N25" s="45">
        <f>5%</f>
        <v>0.05</v>
      </c>
      <c r="O25" s="45">
        <f t="shared" si="4"/>
        <v>3.3333333333333333E-2</v>
      </c>
      <c r="P25" s="45">
        <f t="shared" si="5"/>
        <v>2.5000000000000001E-2</v>
      </c>
      <c r="Q25" s="45">
        <f>2%</f>
        <v>0.02</v>
      </c>
    </row>
    <row r="26" spans="4:17" ht="15" customHeight="1" x14ac:dyDescent="0.35">
      <c r="D26" s="13">
        <f t="shared" si="3"/>
        <v>14</v>
      </c>
      <c r="E26" s="191"/>
      <c r="F26" s="191"/>
      <c r="G26" s="191"/>
      <c r="H26" s="191"/>
      <c r="I26" s="190">
        <f>5.9/100</f>
        <v>5.9000000000000004E-2</v>
      </c>
      <c r="J26" s="190">
        <f t="shared" si="6"/>
        <v>4.4630000000000003E-2</v>
      </c>
      <c r="L26" s="26"/>
      <c r="M26" s="26"/>
      <c r="N26" s="45">
        <f>5%</f>
        <v>0.05</v>
      </c>
      <c r="O26" s="45">
        <f t="shared" si="4"/>
        <v>3.3333333333333333E-2</v>
      </c>
      <c r="P26" s="45">
        <f t="shared" si="5"/>
        <v>2.5000000000000001E-2</v>
      </c>
      <c r="Q26" s="45">
        <f>2%</f>
        <v>0.02</v>
      </c>
    </row>
    <row r="27" spans="4:17" ht="15" customHeight="1" x14ac:dyDescent="0.35">
      <c r="D27" s="13">
        <f t="shared" si="3"/>
        <v>15</v>
      </c>
      <c r="E27" s="191"/>
      <c r="F27" s="191"/>
      <c r="G27" s="191"/>
      <c r="H27" s="191"/>
      <c r="I27" s="190">
        <f>5.91/100</f>
        <v>5.91E-2</v>
      </c>
      <c r="J27" s="190">
        <f>4.462/100</f>
        <v>4.462E-2</v>
      </c>
      <c r="L27" s="26"/>
      <c r="M27" s="26"/>
      <c r="N27" s="45">
        <f>5%</f>
        <v>0.05</v>
      </c>
      <c r="O27" s="45">
        <f t="shared" si="4"/>
        <v>3.3333333333333333E-2</v>
      </c>
      <c r="P27" s="45">
        <f t="shared" si="5"/>
        <v>2.5000000000000001E-2</v>
      </c>
      <c r="Q27" s="45">
        <f>2%</f>
        <v>0.02</v>
      </c>
    </row>
    <row r="28" spans="4:17" ht="15" customHeight="1" x14ac:dyDescent="0.35">
      <c r="D28" s="13">
        <f t="shared" si="3"/>
        <v>16</v>
      </c>
      <c r="E28" s="191"/>
      <c r="F28" s="191"/>
      <c r="G28" s="191"/>
      <c r="H28" s="191"/>
      <c r="I28" s="190">
        <f>2.21/100</f>
        <v>2.2099999999999998E-2</v>
      </c>
      <c r="J28" s="190">
        <f t="shared" si="6"/>
        <v>4.4630000000000003E-2</v>
      </c>
      <c r="L28" s="26"/>
      <c r="M28" s="26"/>
      <c r="N28" s="45">
        <f>5%</f>
        <v>0.05</v>
      </c>
      <c r="O28" s="45">
        <f t="shared" si="4"/>
        <v>3.3333333333333333E-2</v>
      </c>
      <c r="P28" s="45">
        <f t="shared" si="5"/>
        <v>2.5000000000000001E-2</v>
      </c>
      <c r="Q28" s="45">
        <f>2%</f>
        <v>0.02</v>
      </c>
    </row>
    <row r="29" spans="4:17" ht="15" customHeight="1" x14ac:dyDescent="0.35">
      <c r="D29" s="13">
        <f t="shared" si="3"/>
        <v>17</v>
      </c>
      <c r="E29" s="191"/>
      <c r="F29" s="191"/>
      <c r="G29" s="191"/>
      <c r="H29" s="191"/>
      <c r="I29" s="191"/>
      <c r="J29" s="190">
        <f>4.462/100</f>
        <v>4.462E-2</v>
      </c>
      <c r="L29" s="26"/>
      <c r="M29" s="26"/>
      <c r="N29" s="45">
        <f>5%</f>
        <v>0.05</v>
      </c>
      <c r="O29" s="45">
        <f t="shared" si="4"/>
        <v>3.3333333333333333E-2</v>
      </c>
      <c r="P29" s="45">
        <f t="shared" si="5"/>
        <v>2.5000000000000001E-2</v>
      </c>
      <c r="Q29" s="45">
        <f>2%</f>
        <v>0.02</v>
      </c>
    </row>
    <row r="30" spans="4:17" ht="15" customHeight="1" x14ac:dyDescent="0.35">
      <c r="D30" s="13">
        <f t="shared" si="3"/>
        <v>18</v>
      </c>
      <c r="E30" s="191"/>
      <c r="F30" s="191"/>
      <c r="G30" s="191"/>
      <c r="H30" s="191"/>
      <c r="I30" s="191"/>
      <c r="J30" s="190">
        <f t="shared" si="6"/>
        <v>4.4630000000000003E-2</v>
      </c>
      <c r="L30" s="26"/>
      <c r="M30" s="26"/>
      <c r="N30" s="45">
        <f>5%</f>
        <v>0.05</v>
      </c>
      <c r="O30" s="45">
        <f t="shared" si="4"/>
        <v>3.3333333333333333E-2</v>
      </c>
      <c r="P30" s="45">
        <f t="shared" si="5"/>
        <v>2.5000000000000001E-2</v>
      </c>
      <c r="Q30" s="45">
        <f>2%</f>
        <v>0.02</v>
      </c>
    </row>
    <row r="31" spans="4:17" ht="15" customHeight="1" x14ac:dyDescent="0.35">
      <c r="D31" s="13">
        <f t="shared" si="3"/>
        <v>19</v>
      </c>
      <c r="E31" s="191"/>
      <c r="F31" s="191"/>
      <c r="G31" s="191"/>
      <c r="H31" s="191"/>
      <c r="I31" s="191"/>
      <c r="J31" s="190">
        <f>4.462/100</f>
        <v>4.462E-2</v>
      </c>
      <c r="L31" s="26"/>
      <c r="M31" s="26"/>
      <c r="N31" s="45">
        <f>5%</f>
        <v>0.05</v>
      </c>
      <c r="O31" s="45">
        <f t="shared" si="4"/>
        <v>3.3333333333333333E-2</v>
      </c>
      <c r="P31" s="45">
        <f t="shared" si="5"/>
        <v>2.5000000000000001E-2</v>
      </c>
      <c r="Q31" s="45">
        <f>2%</f>
        <v>0.02</v>
      </c>
    </row>
    <row r="32" spans="4:17" ht="15" customHeight="1" x14ac:dyDescent="0.35">
      <c r="D32" s="13">
        <f t="shared" si="3"/>
        <v>20</v>
      </c>
      <c r="E32" s="191"/>
      <c r="F32" s="191"/>
      <c r="G32" s="191"/>
      <c r="H32" s="191"/>
      <c r="I32" s="191"/>
      <c r="J32" s="190">
        <f t="shared" si="6"/>
        <v>4.4630000000000003E-2</v>
      </c>
      <c r="L32" s="26"/>
      <c r="M32" s="26"/>
      <c r="N32" s="45">
        <f>5%</f>
        <v>0.05</v>
      </c>
      <c r="O32" s="45">
        <f t="shared" si="4"/>
        <v>3.3333333333333333E-2</v>
      </c>
      <c r="P32" s="45">
        <f t="shared" si="5"/>
        <v>2.5000000000000001E-2</v>
      </c>
      <c r="Q32" s="45">
        <f>2%</f>
        <v>0.02</v>
      </c>
    </row>
    <row r="33" spans="4:17" ht="15" customHeight="1" x14ac:dyDescent="0.35">
      <c r="D33" s="13">
        <f t="shared" si="3"/>
        <v>21</v>
      </c>
      <c r="E33" s="191"/>
      <c r="F33" s="191"/>
      <c r="G33" s="191"/>
      <c r="H33" s="191"/>
      <c r="I33" s="191"/>
      <c r="J33" s="190">
        <f>1.673/100</f>
        <v>1.6730000000000002E-2</v>
      </c>
      <c r="L33" s="26"/>
      <c r="M33" s="26"/>
      <c r="N33" s="45">
        <f>1.875%</f>
        <v>1.8749999999999999E-2</v>
      </c>
      <c r="O33" s="45">
        <f t="shared" si="4"/>
        <v>3.3333333333333333E-2</v>
      </c>
      <c r="P33" s="45">
        <f t="shared" si="5"/>
        <v>2.5000000000000001E-2</v>
      </c>
      <c r="Q33" s="45">
        <f>2%</f>
        <v>0.02</v>
      </c>
    </row>
    <row r="34" spans="4:17" ht="15" customHeight="1" x14ac:dyDescent="0.35">
      <c r="D34" s="13">
        <f t="shared" si="3"/>
        <v>22</v>
      </c>
      <c r="E34" s="26"/>
      <c r="F34" s="26"/>
      <c r="G34" s="26"/>
      <c r="H34" s="26"/>
      <c r="I34" s="26"/>
      <c r="J34" s="26"/>
      <c r="L34" s="26"/>
      <c r="M34" s="26"/>
      <c r="N34" s="26"/>
      <c r="O34" s="45">
        <f t="shared" si="4"/>
        <v>3.3333333333333333E-2</v>
      </c>
      <c r="P34" s="45">
        <f t="shared" si="5"/>
        <v>2.5000000000000001E-2</v>
      </c>
      <c r="Q34" s="45">
        <f>2%</f>
        <v>0.02</v>
      </c>
    </row>
    <row r="35" spans="4:17" ht="15" customHeight="1" x14ac:dyDescent="0.35">
      <c r="D35" s="13">
        <f t="shared" si="3"/>
        <v>23</v>
      </c>
      <c r="E35" s="26"/>
      <c r="F35" s="26"/>
      <c r="G35" s="26"/>
      <c r="H35" s="26"/>
      <c r="I35" s="26"/>
      <c r="J35" s="26"/>
      <c r="L35" s="26"/>
      <c r="M35" s="26"/>
      <c r="N35" s="26"/>
      <c r="O35" s="45">
        <f t="shared" si="4"/>
        <v>3.3333333333333333E-2</v>
      </c>
      <c r="P35" s="45">
        <f t="shared" si="5"/>
        <v>2.5000000000000001E-2</v>
      </c>
      <c r="Q35" s="45">
        <f>2%</f>
        <v>0.02</v>
      </c>
    </row>
    <row r="36" spans="4:17" ht="15" customHeight="1" x14ac:dyDescent="0.35">
      <c r="D36" s="13">
        <f t="shared" si="3"/>
        <v>24</v>
      </c>
      <c r="E36" s="26"/>
      <c r="F36" s="26"/>
      <c r="G36" s="26"/>
      <c r="H36" s="26"/>
      <c r="I36" s="26"/>
      <c r="J36" s="26"/>
      <c r="L36" s="26"/>
      <c r="M36" s="26"/>
      <c r="N36" s="26"/>
      <c r="O36" s="45">
        <f t="shared" si="4"/>
        <v>3.3333333333333333E-2</v>
      </c>
      <c r="P36" s="45">
        <f t="shared" si="5"/>
        <v>2.5000000000000001E-2</v>
      </c>
      <c r="Q36" s="45">
        <f>2%</f>
        <v>0.02</v>
      </c>
    </row>
    <row r="37" spans="4:17" ht="15" customHeight="1" x14ac:dyDescent="0.35">
      <c r="D37" s="13">
        <f t="shared" si="3"/>
        <v>25</v>
      </c>
      <c r="E37" s="26"/>
      <c r="F37" s="26"/>
      <c r="G37" s="26"/>
      <c r="H37" s="26"/>
      <c r="I37" s="26"/>
      <c r="J37" s="26"/>
      <c r="L37" s="26"/>
      <c r="M37" s="26"/>
      <c r="N37" s="26"/>
      <c r="O37" s="45">
        <f t="shared" si="4"/>
        <v>3.3333333333333333E-2</v>
      </c>
      <c r="P37" s="45">
        <f t="shared" si="5"/>
        <v>2.5000000000000001E-2</v>
      </c>
      <c r="Q37" s="45">
        <f>2%</f>
        <v>0.02</v>
      </c>
    </row>
    <row r="38" spans="4:17" ht="15" customHeight="1" x14ac:dyDescent="0.35">
      <c r="D38" s="13">
        <f t="shared" si="3"/>
        <v>26</v>
      </c>
      <c r="E38" s="26"/>
      <c r="F38" s="26"/>
      <c r="G38" s="26"/>
      <c r="H38" s="26"/>
      <c r="I38" s="26"/>
      <c r="J38" s="26"/>
      <c r="L38" s="26"/>
      <c r="M38" s="26"/>
      <c r="N38" s="26"/>
      <c r="O38" s="45">
        <f t="shared" si="4"/>
        <v>3.3333333333333333E-2</v>
      </c>
      <c r="P38" s="45">
        <f t="shared" si="5"/>
        <v>2.5000000000000001E-2</v>
      </c>
      <c r="Q38" s="45">
        <f>2%</f>
        <v>0.02</v>
      </c>
    </row>
    <row r="39" spans="4:17" ht="15" customHeight="1" x14ac:dyDescent="0.35">
      <c r="D39" s="13">
        <f t="shared" si="3"/>
        <v>27</v>
      </c>
      <c r="E39" s="26"/>
      <c r="F39" s="26"/>
      <c r="G39" s="26"/>
      <c r="H39" s="26"/>
      <c r="I39" s="26"/>
      <c r="J39" s="26"/>
      <c r="L39" s="26"/>
      <c r="M39" s="26"/>
      <c r="N39" s="26"/>
      <c r="O39" s="45">
        <f t="shared" si="4"/>
        <v>3.3333333333333333E-2</v>
      </c>
      <c r="P39" s="45">
        <f t="shared" si="5"/>
        <v>2.5000000000000001E-2</v>
      </c>
      <c r="Q39" s="45">
        <f>2%</f>
        <v>0.02</v>
      </c>
    </row>
    <row r="40" spans="4:17" ht="15" customHeight="1" x14ac:dyDescent="0.35">
      <c r="D40" s="13">
        <f t="shared" si="3"/>
        <v>28</v>
      </c>
      <c r="E40" s="26"/>
      <c r="F40" s="26"/>
      <c r="G40" s="26"/>
      <c r="H40" s="26"/>
      <c r="I40" s="26"/>
      <c r="J40" s="26"/>
      <c r="L40" s="26"/>
      <c r="M40" s="26"/>
      <c r="N40" s="26"/>
      <c r="O40" s="45">
        <f t="shared" si="4"/>
        <v>3.3333333333333333E-2</v>
      </c>
      <c r="P40" s="45">
        <f t="shared" si="5"/>
        <v>2.5000000000000001E-2</v>
      </c>
      <c r="Q40" s="45">
        <f>2%</f>
        <v>0.02</v>
      </c>
    </row>
    <row r="41" spans="4:17" ht="15" customHeight="1" x14ac:dyDescent="0.35">
      <c r="D41" s="13">
        <f t="shared" si="3"/>
        <v>29</v>
      </c>
      <c r="E41" s="26"/>
      <c r="F41" s="26"/>
      <c r="G41" s="26"/>
      <c r="H41" s="26"/>
      <c r="I41" s="26"/>
      <c r="J41" s="26"/>
      <c r="L41" s="26"/>
      <c r="M41" s="26"/>
      <c r="N41" s="26"/>
      <c r="O41" s="45">
        <f t="shared" si="4"/>
        <v>3.3333333333333333E-2</v>
      </c>
      <c r="P41" s="45">
        <f t="shared" si="5"/>
        <v>2.5000000000000001E-2</v>
      </c>
      <c r="Q41" s="45">
        <f>2%</f>
        <v>0.02</v>
      </c>
    </row>
    <row r="42" spans="4:17" ht="15" customHeight="1" x14ac:dyDescent="0.35">
      <c r="D42" s="13">
        <f t="shared" si="3"/>
        <v>30</v>
      </c>
      <c r="E42" s="26"/>
      <c r="F42" s="26"/>
      <c r="G42" s="26"/>
      <c r="H42" s="26"/>
      <c r="I42" s="26"/>
      <c r="J42" s="26"/>
      <c r="L42" s="26"/>
      <c r="M42" s="26"/>
      <c r="N42" s="26"/>
      <c r="O42" s="45">
        <f t="shared" si="4"/>
        <v>3.3333333333333333E-2</v>
      </c>
      <c r="P42" s="45">
        <f t="shared" si="5"/>
        <v>2.5000000000000001E-2</v>
      </c>
      <c r="Q42" s="45">
        <f>2%</f>
        <v>0.02</v>
      </c>
    </row>
    <row r="43" spans="4:17" ht="15" customHeight="1" x14ac:dyDescent="0.35">
      <c r="D43" s="13">
        <f t="shared" si="3"/>
        <v>31</v>
      </c>
      <c r="E43" s="26"/>
      <c r="F43" s="26"/>
      <c r="G43" s="26"/>
      <c r="H43" s="26"/>
      <c r="I43" s="26"/>
      <c r="J43" s="26"/>
      <c r="L43" s="26"/>
      <c r="M43" s="26"/>
      <c r="N43" s="26"/>
      <c r="O43" s="45">
        <f>1.25%</f>
        <v>1.2500000000000001E-2</v>
      </c>
      <c r="P43" s="45">
        <f t="shared" si="5"/>
        <v>2.5000000000000001E-2</v>
      </c>
      <c r="Q43" s="45">
        <f>2%</f>
        <v>0.02</v>
      </c>
    </row>
    <row r="44" spans="4:17" ht="15" customHeight="1" x14ac:dyDescent="0.35">
      <c r="D44" s="13">
        <f t="shared" si="3"/>
        <v>32</v>
      </c>
      <c r="E44" s="26"/>
      <c r="F44" s="26"/>
      <c r="G44" s="26"/>
      <c r="H44" s="26"/>
      <c r="I44" s="26"/>
      <c r="J44" s="26"/>
      <c r="L44" s="26"/>
      <c r="M44" s="26"/>
      <c r="N44" s="26"/>
      <c r="O44" s="26"/>
      <c r="P44" s="45">
        <f t="shared" si="5"/>
        <v>2.5000000000000001E-2</v>
      </c>
      <c r="Q44" s="45">
        <f>2%</f>
        <v>0.02</v>
      </c>
    </row>
    <row r="45" spans="4:17" ht="15" customHeight="1" x14ac:dyDescent="0.35">
      <c r="D45" s="13">
        <f t="shared" si="3"/>
        <v>33</v>
      </c>
      <c r="E45" s="26"/>
      <c r="F45" s="26"/>
      <c r="G45" s="26"/>
      <c r="H45" s="26"/>
      <c r="I45" s="26"/>
      <c r="J45" s="26"/>
      <c r="L45" s="26"/>
      <c r="M45" s="26"/>
      <c r="N45" s="26"/>
      <c r="O45" s="26"/>
      <c r="P45" s="45">
        <f t="shared" si="5"/>
        <v>2.5000000000000001E-2</v>
      </c>
      <c r="Q45" s="45">
        <f>2%</f>
        <v>0.02</v>
      </c>
    </row>
    <row r="46" spans="4:17" ht="15" customHeight="1" x14ac:dyDescent="0.35">
      <c r="D46" s="13">
        <f t="shared" si="3"/>
        <v>34</v>
      </c>
      <c r="E46" s="26"/>
      <c r="F46" s="26"/>
      <c r="G46" s="26"/>
      <c r="H46" s="26"/>
      <c r="I46" s="26"/>
      <c r="J46" s="26"/>
      <c r="L46" s="26"/>
      <c r="M46" s="26"/>
      <c r="N46" s="26"/>
      <c r="O46" s="26"/>
      <c r="P46" s="45">
        <f t="shared" si="5"/>
        <v>2.5000000000000001E-2</v>
      </c>
      <c r="Q46" s="45">
        <f>2%</f>
        <v>0.02</v>
      </c>
    </row>
    <row r="47" spans="4:17" ht="15" customHeight="1" x14ac:dyDescent="0.35">
      <c r="D47" s="13">
        <f t="shared" si="3"/>
        <v>35</v>
      </c>
      <c r="E47" s="26"/>
      <c r="F47" s="26"/>
      <c r="G47" s="26"/>
      <c r="H47" s="26"/>
      <c r="I47" s="26"/>
      <c r="J47" s="26"/>
      <c r="L47" s="26"/>
      <c r="M47" s="26"/>
      <c r="N47" s="26"/>
      <c r="O47" s="26"/>
      <c r="P47" s="45">
        <f t="shared" si="5"/>
        <v>2.5000000000000001E-2</v>
      </c>
      <c r="Q47" s="45">
        <f>2%</f>
        <v>0.02</v>
      </c>
    </row>
    <row r="48" spans="4:17" ht="15" customHeight="1" x14ac:dyDescent="0.35">
      <c r="D48" s="13">
        <f t="shared" si="3"/>
        <v>36</v>
      </c>
      <c r="E48" s="26"/>
      <c r="F48" s="26"/>
      <c r="G48" s="26"/>
      <c r="H48" s="26"/>
      <c r="I48" s="26"/>
      <c r="J48" s="26"/>
      <c r="L48" s="26"/>
      <c r="M48" s="26"/>
      <c r="N48" s="26"/>
      <c r="O48" s="26"/>
      <c r="P48" s="45">
        <f t="shared" si="5"/>
        <v>2.5000000000000001E-2</v>
      </c>
      <c r="Q48" s="45">
        <f>2%</f>
        <v>0.02</v>
      </c>
    </row>
    <row r="49" spans="4:17" ht="15" customHeight="1" x14ac:dyDescent="0.35">
      <c r="D49" s="13">
        <f t="shared" si="3"/>
        <v>37</v>
      </c>
      <c r="E49" s="26"/>
      <c r="F49" s="26"/>
      <c r="G49" s="26"/>
      <c r="H49" s="26"/>
      <c r="I49" s="26"/>
      <c r="J49" s="26"/>
      <c r="L49" s="26"/>
      <c r="M49" s="26"/>
      <c r="N49" s="26"/>
      <c r="O49" s="26"/>
      <c r="P49" s="45">
        <f t="shared" si="5"/>
        <v>2.5000000000000001E-2</v>
      </c>
      <c r="Q49" s="45">
        <f>2%</f>
        <v>0.02</v>
      </c>
    </row>
    <row r="50" spans="4:17" ht="15" customHeight="1" x14ac:dyDescent="0.35">
      <c r="D50" s="13">
        <f t="shared" si="3"/>
        <v>38</v>
      </c>
      <c r="E50" s="26"/>
      <c r="F50" s="26"/>
      <c r="G50" s="26"/>
      <c r="H50" s="26"/>
      <c r="I50" s="26"/>
      <c r="J50" s="26"/>
      <c r="L50" s="26"/>
      <c r="M50" s="26"/>
      <c r="N50" s="26"/>
      <c r="O50" s="26"/>
      <c r="P50" s="45">
        <f t="shared" si="5"/>
        <v>2.5000000000000001E-2</v>
      </c>
      <c r="Q50" s="45">
        <f>2%</f>
        <v>0.02</v>
      </c>
    </row>
    <row r="51" spans="4:17" ht="15" customHeight="1" x14ac:dyDescent="0.35">
      <c r="D51" s="13">
        <f t="shared" si="3"/>
        <v>39</v>
      </c>
      <c r="E51" s="26"/>
      <c r="F51" s="26"/>
      <c r="G51" s="26"/>
      <c r="H51" s="26"/>
      <c r="I51" s="26"/>
      <c r="J51" s="26"/>
      <c r="L51" s="26"/>
      <c r="M51" s="26"/>
      <c r="N51" s="26"/>
      <c r="O51" s="26"/>
      <c r="P51" s="45">
        <f t="shared" si="5"/>
        <v>2.5000000000000001E-2</v>
      </c>
      <c r="Q51" s="45">
        <f>2%</f>
        <v>0.02</v>
      </c>
    </row>
    <row r="52" spans="4:17" ht="15" customHeight="1" x14ac:dyDescent="0.35">
      <c r="D52" s="13">
        <f t="shared" si="3"/>
        <v>40</v>
      </c>
      <c r="E52" s="26"/>
      <c r="F52" s="26"/>
      <c r="G52" s="26"/>
      <c r="H52" s="26"/>
      <c r="I52" s="26"/>
      <c r="J52" s="26"/>
      <c r="L52" s="26"/>
      <c r="M52" s="26"/>
      <c r="N52" s="26"/>
      <c r="O52" s="26"/>
      <c r="P52" s="45">
        <f t="shared" si="5"/>
        <v>2.5000000000000001E-2</v>
      </c>
      <c r="Q52" s="45">
        <f>2%</f>
        <v>0.02</v>
      </c>
    </row>
    <row r="53" spans="4:17" ht="15" customHeight="1" x14ac:dyDescent="0.35">
      <c r="D53" s="13">
        <f t="shared" si="3"/>
        <v>41</v>
      </c>
      <c r="E53" s="26"/>
      <c r="F53" s="26"/>
      <c r="G53" s="26"/>
      <c r="H53" s="26"/>
      <c r="I53" s="26"/>
      <c r="J53" s="26"/>
      <c r="L53" s="26"/>
      <c r="M53" s="26"/>
      <c r="N53" s="26"/>
      <c r="O53" s="26"/>
      <c r="P53" s="45">
        <f>0.937%</f>
        <v>9.3699999999999999E-3</v>
      </c>
      <c r="Q53" s="45">
        <f>2%</f>
        <v>0.02</v>
      </c>
    </row>
    <row r="54" spans="4:17" ht="15" customHeight="1" x14ac:dyDescent="0.35">
      <c r="D54" s="13">
        <f t="shared" si="3"/>
        <v>42</v>
      </c>
      <c r="E54" s="26"/>
      <c r="F54" s="26"/>
      <c r="G54" s="26"/>
      <c r="H54" s="26"/>
      <c r="I54" s="26"/>
      <c r="J54" s="26"/>
      <c r="L54" s="26"/>
      <c r="M54" s="26"/>
      <c r="N54" s="26"/>
      <c r="O54" s="26"/>
      <c r="P54" s="26"/>
      <c r="Q54" s="45">
        <f>2%</f>
        <v>0.02</v>
      </c>
    </row>
    <row r="55" spans="4:17" ht="15" customHeight="1" x14ac:dyDescent="0.35">
      <c r="D55" s="13">
        <f t="shared" si="3"/>
        <v>43</v>
      </c>
      <c r="E55" s="26"/>
      <c r="F55" s="26"/>
      <c r="G55" s="26"/>
      <c r="H55" s="26"/>
      <c r="I55" s="26"/>
      <c r="J55" s="26"/>
      <c r="L55" s="26"/>
      <c r="M55" s="26"/>
      <c r="N55" s="26"/>
      <c r="O55" s="26"/>
      <c r="P55" s="26"/>
      <c r="Q55" s="45">
        <f>2%</f>
        <v>0.02</v>
      </c>
    </row>
    <row r="56" spans="4:17" ht="15" customHeight="1" x14ac:dyDescent="0.35">
      <c r="D56" s="13">
        <f t="shared" si="3"/>
        <v>44</v>
      </c>
      <c r="E56" s="26"/>
      <c r="F56" s="26"/>
      <c r="G56" s="26"/>
      <c r="H56" s="26"/>
      <c r="I56" s="26"/>
      <c r="J56" s="26"/>
      <c r="L56" s="26"/>
      <c r="M56" s="26"/>
      <c r="N56" s="26"/>
      <c r="O56" s="26"/>
      <c r="P56" s="26"/>
      <c r="Q56" s="45">
        <f>2%</f>
        <v>0.02</v>
      </c>
    </row>
    <row r="57" spans="4:17" ht="15" customHeight="1" x14ac:dyDescent="0.35">
      <c r="D57" s="13">
        <f t="shared" si="3"/>
        <v>45</v>
      </c>
      <c r="E57" s="26"/>
      <c r="F57" s="26"/>
      <c r="G57" s="26"/>
      <c r="H57" s="26"/>
      <c r="I57" s="26"/>
      <c r="J57" s="26"/>
      <c r="L57" s="26"/>
      <c r="M57" s="26"/>
      <c r="N57" s="26"/>
      <c r="O57" s="26"/>
      <c r="P57" s="26"/>
      <c r="Q57" s="45">
        <f>2%</f>
        <v>0.02</v>
      </c>
    </row>
    <row r="58" spans="4:17" ht="15" customHeight="1" x14ac:dyDescent="0.35">
      <c r="D58" s="13">
        <f t="shared" si="3"/>
        <v>46</v>
      </c>
      <c r="E58" s="26"/>
      <c r="F58" s="26"/>
      <c r="G58" s="26"/>
      <c r="H58" s="26"/>
      <c r="I58" s="26"/>
      <c r="J58" s="26"/>
      <c r="L58" s="26"/>
      <c r="M58" s="26"/>
      <c r="N58" s="26"/>
      <c r="O58" s="26"/>
      <c r="P58" s="26"/>
      <c r="Q58" s="45">
        <f>2%</f>
        <v>0.02</v>
      </c>
    </row>
    <row r="59" spans="4:17" ht="15" customHeight="1" x14ac:dyDescent="0.35">
      <c r="D59" s="13">
        <f t="shared" si="3"/>
        <v>47</v>
      </c>
      <c r="E59" s="26"/>
      <c r="F59" s="26"/>
      <c r="G59" s="26"/>
      <c r="H59" s="26"/>
      <c r="I59" s="26"/>
      <c r="J59" s="26"/>
      <c r="L59" s="26"/>
      <c r="M59" s="26"/>
      <c r="N59" s="26"/>
      <c r="O59" s="26"/>
      <c r="P59" s="26"/>
      <c r="Q59" s="45">
        <f>2%</f>
        <v>0.02</v>
      </c>
    </row>
    <row r="60" spans="4:17" ht="15" customHeight="1" x14ac:dyDescent="0.35">
      <c r="D60" s="13">
        <f t="shared" si="3"/>
        <v>48</v>
      </c>
      <c r="E60" s="26"/>
      <c r="F60" s="26"/>
      <c r="G60" s="26"/>
      <c r="H60" s="26"/>
      <c r="I60" s="26"/>
      <c r="J60" s="26"/>
      <c r="L60" s="26"/>
      <c r="M60" s="26"/>
      <c r="N60" s="26"/>
      <c r="O60" s="26"/>
      <c r="P60" s="26"/>
      <c r="Q60" s="45">
        <f>2%</f>
        <v>0.02</v>
      </c>
    </row>
    <row r="61" spans="4:17" ht="15" customHeight="1" x14ac:dyDescent="0.35">
      <c r="D61" s="13">
        <f t="shared" si="3"/>
        <v>49</v>
      </c>
      <c r="E61" s="26"/>
      <c r="F61" s="26"/>
      <c r="G61" s="26"/>
      <c r="H61" s="26"/>
      <c r="I61" s="26"/>
      <c r="J61" s="26"/>
      <c r="L61" s="26"/>
      <c r="M61" s="26"/>
      <c r="N61" s="26"/>
      <c r="O61" s="26"/>
      <c r="P61" s="26"/>
      <c r="Q61" s="45">
        <f>2%</f>
        <v>0.02</v>
      </c>
    </row>
    <row r="62" spans="4:17" ht="15" customHeight="1" x14ac:dyDescent="0.35">
      <c r="D62" s="13">
        <f t="shared" si="3"/>
        <v>50</v>
      </c>
      <c r="E62" s="26"/>
      <c r="F62" s="26"/>
      <c r="G62" s="26"/>
      <c r="H62" s="26"/>
      <c r="I62" s="26"/>
      <c r="J62" s="26"/>
      <c r="L62" s="26"/>
      <c r="M62" s="26"/>
      <c r="N62" s="26"/>
      <c r="O62" s="26"/>
      <c r="P62" s="26"/>
      <c r="Q62" s="45">
        <f>2%</f>
        <v>0.02</v>
      </c>
    </row>
    <row r="63" spans="4:17" ht="15" customHeight="1" x14ac:dyDescent="0.35">
      <c r="D63" s="13">
        <f t="shared" si="3"/>
        <v>51</v>
      </c>
      <c r="E63" s="26"/>
      <c r="F63" s="26"/>
      <c r="G63" s="26"/>
      <c r="H63" s="26"/>
      <c r="I63" s="26"/>
      <c r="J63" s="26"/>
      <c r="L63" s="26"/>
      <c r="M63" s="26"/>
      <c r="N63" s="26"/>
      <c r="O63" s="26"/>
      <c r="P63" s="26"/>
      <c r="Q63" s="45">
        <f>0.75%</f>
        <v>7.4999999999999997E-3</v>
      </c>
    </row>
    <row r="64" spans="4:17" ht="6" customHeight="1" thickBot="1" x14ac:dyDescent="0.4">
      <c r="D64" s="20"/>
      <c r="E64" s="20"/>
      <c r="F64" s="20"/>
      <c r="G64" s="20"/>
      <c r="H64" s="20"/>
      <c r="I64" s="20"/>
      <c r="J64" s="20"/>
      <c r="K64" s="20"/>
      <c r="L64" s="20"/>
      <c r="M64" s="20"/>
      <c r="N64" s="20"/>
      <c r="O64" s="20"/>
      <c r="P64" s="20"/>
      <c r="Q64" s="20"/>
    </row>
    <row r="65" spans="4:17" ht="6" customHeight="1" thickTop="1" x14ac:dyDescent="0.35"/>
    <row r="66" spans="4:17" ht="15" customHeight="1" x14ac:dyDescent="0.35">
      <c r="D66" s="5" t="s">
        <v>26</v>
      </c>
    </row>
    <row r="67" spans="4:17" ht="15" customHeight="1" x14ac:dyDescent="0.35">
      <c r="D67" s="404" t="s">
        <v>679</v>
      </c>
    </row>
    <row r="68" spans="4:17" ht="15" customHeight="1" x14ac:dyDescent="0.35">
      <c r="D68" s="2178" t="s">
        <v>696</v>
      </c>
      <c r="E68" s="2171"/>
      <c r="F68" s="2171"/>
      <c r="G68" s="2171"/>
      <c r="H68" s="2171"/>
      <c r="I68" s="2171"/>
      <c r="J68" s="2171"/>
      <c r="K68" s="2171"/>
      <c r="L68" s="2171"/>
      <c r="M68" s="2171"/>
      <c r="N68" s="2171"/>
      <c r="O68" s="2171"/>
      <c r="P68" s="2171"/>
      <c r="Q68" s="2171"/>
    </row>
    <row r="69" spans="4:17" ht="15" customHeight="1" x14ac:dyDescent="0.35">
      <c r="D69" s="93" t="str">
        <f>$E$9&amp;" to "&amp;$J$9&amp;": Table A-3. 3-, 5-, 7-, 10-, 15-, and 20-Year Property Mid-Quarter Convention Placed in Service in Second Quarter."</f>
        <v>[A] to [F]: Table A-3. 3-, 5-, 7-, 10-, 15-, and 20-Year Property Mid-Quarter Convention Placed in Service in Second Quarter.</v>
      </c>
      <c r="E69" s="93"/>
      <c r="F69" s="93"/>
      <c r="G69" s="93"/>
      <c r="H69" s="93"/>
      <c r="I69" s="93"/>
      <c r="J69" s="93"/>
      <c r="K69" s="93"/>
      <c r="L69" s="93"/>
      <c r="M69" s="93"/>
      <c r="N69" s="93"/>
      <c r="O69" s="93"/>
      <c r="P69" s="93"/>
      <c r="Q69" s="93"/>
    </row>
    <row r="70" spans="4:17" ht="15" customHeight="1" x14ac:dyDescent="0.35">
      <c r="D70" s="93" t="str">
        <f>$L$9&amp;" to "&amp;$Q$9&amp;": Table A-10. Straight Line Method Mid Quarter Convention Placed in Service in Second Quarter. "</f>
        <v xml:space="preserve">[G] to [L]: Table A-10. Straight Line Method Mid Quarter Convention Placed in Service in Second Quarter. </v>
      </c>
      <c r="E70" s="93"/>
      <c r="F70" s="93"/>
      <c r="G70" s="93"/>
      <c r="H70" s="93"/>
      <c r="I70" s="93"/>
      <c r="J70" s="93"/>
      <c r="K70" s="93"/>
      <c r="L70" s="93"/>
      <c r="M70" s="93"/>
      <c r="N70" s="93"/>
      <c r="O70" s="93"/>
      <c r="P70" s="93"/>
      <c r="Q70" s="93"/>
    </row>
  </sheetData>
  <mergeCells count="2">
    <mergeCell ref="E7:J7"/>
    <mergeCell ref="L7:Q7"/>
  </mergeCells>
  <conditionalFormatting sqref="G19:H20">
    <cfRule type="cellIs" dxfId="19" priority="8" stopIfTrue="1" operator="equal">
      <formula>0</formula>
    </cfRule>
  </conditionalFormatting>
  <conditionalFormatting sqref="G13:J14 G15:H15 I15:I28 F16:H18">
    <cfRule type="cellIs" dxfId="18" priority="9" stopIfTrue="1" operator="equal">
      <formula>0</formula>
    </cfRule>
  </conditionalFormatting>
  <conditionalFormatting sqref="H21:H23">
    <cfRule type="cellIs" dxfId="17" priority="7" stopIfTrue="1" operator="equal">
      <formula>0</formula>
    </cfRule>
  </conditionalFormatting>
  <conditionalFormatting sqref="J15:J33">
    <cfRule type="cellIs" dxfId="16" priority="5" stopIfTrue="1" operator="equal">
      <formula>0</formula>
    </cfRule>
  </conditionalFormatting>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H21 J27:J31 I20:I2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0F11-BAA8-4452-BA0C-0FA5D148B53A}">
  <sheetPr codeName="Sheet35">
    <pageSetUpPr autoPageBreaks="0"/>
  </sheetPr>
  <dimension ref="A1:H49"/>
  <sheetViews>
    <sheetView showGridLines="0" zoomScale="70" zoomScaleNormal="70" workbookViewId="0"/>
  </sheetViews>
  <sheetFormatPr defaultColWidth="8.7265625" defaultRowHeight="15" customHeight="1" x14ac:dyDescent="0.35"/>
  <cols>
    <col min="1" max="3" width="13.54296875" style="5" customWidth="1"/>
    <col min="4" max="4" width="10" style="5" customWidth="1"/>
    <col min="5" max="5" width="16.54296875" style="17" customWidth="1"/>
    <col min="6" max="6" width="17.453125" style="26" bestFit="1" customWidth="1"/>
    <col min="7" max="7" width="8.7265625" style="5"/>
    <col min="8" max="8" width="10.1796875" style="5" bestFit="1" customWidth="1"/>
    <col min="9" max="16384" width="8.7265625" style="5"/>
  </cols>
  <sheetData>
    <row r="1" spans="1:8" s="1" customFormat="1" ht="15" customHeight="1" x14ac:dyDescent="0.35">
      <c r="A1" s="81" t="s">
        <v>275</v>
      </c>
      <c r="E1" s="7">
        <v>65</v>
      </c>
      <c r="F1" s="100">
        <f>E1+1</f>
        <v>66</v>
      </c>
    </row>
    <row r="2" spans="1:8" s="1" customFormat="1" ht="15" customHeight="1" x14ac:dyDescent="0.35">
      <c r="E2" s="15"/>
      <c r="F2" s="87"/>
    </row>
    <row r="3" spans="1:8" s="1" customFormat="1" ht="15" customHeight="1" x14ac:dyDescent="0.35">
      <c r="D3" s="9" t="str">
        <f>LEFT($D4, FIND(":",$D4)-1)</f>
        <v>Table C4</v>
      </c>
      <c r="E3" s="15"/>
      <c r="F3" s="87"/>
    </row>
    <row r="4" spans="1:8" s="1" customFormat="1" ht="15" customHeight="1" x14ac:dyDescent="0.35">
      <c r="D4" s="2" t="str">
        <f>ToC!$J$43</f>
        <v>Table C4: Inflation Forecast</v>
      </c>
      <c r="E4" s="15"/>
      <c r="F4" s="87"/>
    </row>
    <row r="5" spans="1:8" s="1" customFormat="1" ht="6" customHeight="1" thickBot="1" x14ac:dyDescent="0.4">
      <c r="D5" s="3"/>
      <c r="E5" s="18"/>
      <c r="F5" s="18"/>
    </row>
    <row r="6" spans="1:8" s="1" customFormat="1" ht="6" customHeight="1" thickTop="1" x14ac:dyDescent="0.35">
      <c r="E6" s="15"/>
      <c r="F6" s="87"/>
    </row>
    <row r="7" spans="1:8" s="1" customFormat="1" ht="30" customHeight="1" x14ac:dyDescent="0.35">
      <c r="D7" s="5" t="s">
        <v>27</v>
      </c>
      <c r="E7" s="179" t="s">
        <v>513</v>
      </c>
      <c r="F7" s="1168" t="s">
        <v>508</v>
      </c>
    </row>
    <row r="8" spans="1:8" s="1" customFormat="1" ht="15" customHeight="1" x14ac:dyDescent="0.35">
      <c r="D8" s="5"/>
      <c r="E8" s="12" t="str">
        <f>"["&amp;CHAR(E1)&amp;"]"</f>
        <v>[A]</v>
      </c>
      <c r="F8" s="194" t="str">
        <f>"["&amp;CHAR(F1)&amp;"]"</f>
        <v>[B]</v>
      </c>
    </row>
    <row r="9" spans="1:8" ht="6" customHeight="1" x14ac:dyDescent="0.35">
      <c r="D9" s="10"/>
      <c r="E9" s="19"/>
      <c r="F9" s="43"/>
    </row>
    <row r="10" spans="1:8" ht="6" customHeight="1" x14ac:dyDescent="0.35"/>
    <row r="11" spans="1:8" ht="15" customHeight="1" x14ac:dyDescent="0.35">
      <c r="A11" s="13"/>
      <c r="D11" s="1177">
        <f>2024</f>
        <v>2024</v>
      </c>
      <c r="E11" s="188">
        <v>2.8880572199800669E-2</v>
      </c>
      <c r="F11" s="191">
        <f>(1+E11)^(1/12)-1</f>
        <v>2.3754325560956246E-3</v>
      </c>
    </row>
    <row r="12" spans="1:8" ht="15" customHeight="1" x14ac:dyDescent="0.35">
      <c r="A12" s="13"/>
      <c r="D12" s="1177">
        <v>2025</v>
      </c>
      <c r="E12" s="188">
        <v>2.7321836572426119E-2</v>
      </c>
      <c r="F12" s="191">
        <f t="shared" ref="F12:F41" si="0">(1+E12)^(1/12)-1</f>
        <v>2.2487961986243921E-3</v>
      </c>
      <c r="G12" s="2080"/>
    </row>
    <row r="13" spans="1:8" ht="15" customHeight="1" x14ac:dyDescent="0.35">
      <c r="A13" s="13"/>
      <c r="D13" s="1177">
        <f t="shared" ref="D13:D41" si="1">D12+1</f>
        <v>2026</v>
      </c>
      <c r="E13" s="188">
        <v>2.5046577586994523E-2</v>
      </c>
      <c r="F13" s="191">
        <f t="shared" si="0"/>
        <v>2.0636307866834791E-3</v>
      </c>
      <c r="H13" s="1160"/>
    </row>
    <row r="14" spans="1:8" ht="15" customHeight="1" x14ac:dyDescent="0.35">
      <c r="A14" s="13"/>
      <c r="D14" s="1177">
        <f t="shared" si="1"/>
        <v>2027</v>
      </c>
      <c r="E14" s="188">
        <v>2.4264704980775799E-2</v>
      </c>
      <c r="F14" s="191">
        <f t="shared" si="0"/>
        <v>1.999913345157589E-3</v>
      </c>
      <c r="H14" s="1160"/>
    </row>
    <row r="15" spans="1:8" ht="15" customHeight="1" x14ac:dyDescent="0.35">
      <c r="A15" s="13"/>
      <c r="D15" s="1177">
        <f t="shared" si="1"/>
        <v>2028</v>
      </c>
      <c r="E15" s="188">
        <v>2.4029296153061378E-2</v>
      </c>
      <c r="F15" s="191">
        <f t="shared" si="0"/>
        <v>1.9807203511530425E-3</v>
      </c>
      <c r="H15" s="1160"/>
    </row>
    <row r="16" spans="1:8" ht="15" customHeight="1" x14ac:dyDescent="0.35">
      <c r="A16" s="13"/>
      <c r="D16" s="1177">
        <f t="shared" si="1"/>
        <v>2029</v>
      </c>
      <c r="E16" s="188">
        <v>2.400566119846299E-2</v>
      </c>
      <c r="F16" s="191">
        <f t="shared" si="0"/>
        <v>1.9787931586201513E-3</v>
      </c>
    </row>
    <row r="17" spans="1:6" ht="15" customHeight="1" x14ac:dyDescent="0.35">
      <c r="A17" s="13"/>
      <c r="D17" s="1177">
        <f t="shared" si="1"/>
        <v>2030</v>
      </c>
      <c r="E17" s="188">
        <v>2.4082665102263524E-2</v>
      </c>
      <c r="F17" s="191">
        <f t="shared" si="0"/>
        <v>1.9850719015326312E-3</v>
      </c>
    </row>
    <row r="18" spans="1:6" ht="15" customHeight="1" x14ac:dyDescent="0.35">
      <c r="A18" s="13"/>
      <c r="D18" s="1177">
        <f t="shared" si="1"/>
        <v>2031</v>
      </c>
      <c r="E18" s="188">
        <v>2.4205669228795107E-2</v>
      </c>
      <c r="F18" s="191">
        <f t="shared" si="0"/>
        <v>1.9951005120419918E-3</v>
      </c>
    </row>
    <row r="19" spans="1:6" ht="15" customHeight="1" x14ac:dyDescent="0.35">
      <c r="A19" s="13"/>
      <c r="D19" s="1177">
        <f t="shared" si="1"/>
        <v>2032</v>
      </c>
      <c r="E19" s="188">
        <v>2.4347028732102899E-2</v>
      </c>
      <c r="F19" s="191">
        <f t="shared" si="0"/>
        <v>2.0066242855973915E-3</v>
      </c>
    </row>
    <row r="20" spans="1:6" ht="15" customHeight="1" x14ac:dyDescent="0.35">
      <c r="A20" s="13"/>
      <c r="D20" s="1177">
        <f t="shared" si="1"/>
        <v>2033</v>
      </c>
      <c r="E20" s="188">
        <v>2.4492750710896599E-2</v>
      </c>
      <c r="F20" s="191">
        <f t="shared" si="0"/>
        <v>2.0185021668581715E-3</v>
      </c>
    </row>
    <row r="21" spans="1:6" ht="15" customHeight="1" x14ac:dyDescent="0.35">
      <c r="A21" s="13"/>
      <c r="D21" s="1177">
        <f t="shared" si="1"/>
        <v>2034</v>
      </c>
      <c r="E21" s="188">
        <v>2.4636113204929672E-2</v>
      </c>
      <c r="F21" s="191">
        <f t="shared" si="0"/>
        <v>2.0301862139855409E-3</v>
      </c>
    </row>
    <row r="22" spans="1:6" ht="15" customHeight="1" x14ac:dyDescent="0.35">
      <c r="A22" s="13"/>
      <c r="D22" s="1177">
        <f t="shared" si="1"/>
        <v>2035</v>
      </c>
      <c r="E22" s="188">
        <v>2.4773870862678012E-2</v>
      </c>
      <c r="F22" s="191">
        <f t="shared" si="0"/>
        <v>2.0414120550771298E-3</v>
      </c>
    </row>
    <row r="23" spans="1:6" ht="15" customHeight="1" x14ac:dyDescent="0.35">
      <c r="A23" s="13"/>
      <c r="D23" s="1177">
        <f t="shared" si="1"/>
        <v>2036</v>
      </c>
      <c r="E23" s="188">
        <v>2.4904682991927735E-2</v>
      </c>
      <c r="F23" s="191">
        <f t="shared" si="0"/>
        <v>2.0520706262119326E-3</v>
      </c>
    </row>
    <row r="24" spans="1:6" ht="15" customHeight="1" x14ac:dyDescent="0.35">
      <c r="A24" s="13"/>
      <c r="D24" s="1177">
        <f t="shared" si="1"/>
        <v>2037</v>
      </c>
      <c r="E24" s="188">
        <v>2.5028012278304597E-2</v>
      </c>
      <c r="F24" s="191">
        <f t="shared" si="0"/>
        <v>2.0621183533728882E-3</v>
      </c>
    </row>
    <row r="25" spans="1:6" ht="15" customHeight="1" x14ac:dyDescent="0.35">
      <c r="A25" s="13"/>
      <c r="D25" s="1177">
        <f t="shared" si="1"/>
        <v>2038</v>
      </c>
      <c r="E25" s="188">
        <v>2.5143969069297976E-2</v>
      </c>
      <c r="F25" s="191">
        <f t="shared" si="0"/>
        <v>2.0715644272037981E-3</v>
      </c>
    </row>
    <row r="26" spans="1:6" ht="15" customHeight="1" x14ac:dyDescent="0.35">
      <c r="A26" s="13"/>
      <c r="D26" s="1177">
        <f t="shared" si="1"/>
        <v>2039</v>
      </c>
      <c r="E26" s="188">
        <v>2.5252760218637444E-2</v>
      </c>
      <c r="F26" s="191">
        <f t="shared" si="0"/>
        <v>2.0804258829554279E-3</v>
      </c>
    </row>
    <row r="27" spans="1:6" ht="15" customHeight="1" x14ac:dyDescent="0.35">
      <c r="A27" s="13"/>
      <c r="D27" s="1177">
        <f t="shared" si="1"/>
        <v>2040</v>
      </c>
      <c r="E27" s="188">
        <v>2.5354747148396535E-2</v>
      </c>
      <c r="F27" s="191">
        <f t="shared" si="0"/>
        <v>2.0887323262328561E-3</v>
      </c>
    </row>
    <row r="28" spans="1:6" ht="15" customHeight="1" x14ac:dyDescent="0.35">
      <c r="A28" s="13"/>
      <c r="D28" s="1177">
        <f t="shared" si="1"/>
        <v>2041</v>
      </c>
      <c r="E28" s="188">
        <v>2.5450231398694002E-2</v>
      </c>
      <c r="F28" s="191">
        <f t="shared" si="0"/>
        <v>2.0965084648432164E-3</v>
      </c>
    </row>
    <row r="29" spans="1:6" ht="15" customHeight="1" x14ac:dyDescent="0.35">
      <c r="A29" s="13"/>
      <c r="D29" s="1177">
        <f t="shared" si="1"/>
        <v>2042</v>
      </c>
      <c r="E29" s="188">
        <v>2.5539666499658865E-2</v>
      </c>
      <c r="F29" s="191">
        <f t="shared" si="0"/>
        <v>2.1037913650201467E-3</v>
      </c>
    </row>
    <row r="30" spans="1:6" ht="15" customHeight="1" x14ac:dyDescent="0.35">
      <c r="A30" s="13"/>
      <c r="D30" s="1177">
        <f t="shared" si="1"/>
        <v>2043</v>
      </c>
      <c r="E30" s="188">
        <v>2.5623400067525535E-2</v>
      </c>
      <c r="F30" s="191">
        <f t="shared" si="0"/>
        <v>2.1106094489231619E-3</v>
      </c>
    </row>
    <row r="31" spans="1:6" ht="15" customHeight="1" x14ac:dyDescent="0.35">
      <c r="A31" s="13"/>
      <c r="D31" s="1177">
        <f t="shared" si="1"/>
        <v>2044</v>
      </c>
      <c r="E31" s="188">
        <v>2.5701806883835051E-2</v>
      </c>
      <c r="F31" s="191">
        <f t="shared" si="0"/>
        <v>2.1169933345304148E-3</v>
      </c>
    </row>
    <row r="32" spans="1:6" ht="15" customHeight="1" x14ac:dyDescent="0.35">
      <c r="A32" s="13"/>
      <c r="D32" s="1177">
        <f t="shared" si="1"/>
        <v>2045</v>
      </c>
      <c r="E32" s="188">
        <v>2.5775168410912579E-2</v>
      </c>
      <c r="F32" s="191">
        <f t="shared" si="0"/>
        <v>2.122966027451989E-3</v>
      </c>
    </row>
    <row r="33" spans="1:6" ht="15" customHeight="1" x14ac:dyDescent="0.35">
      <c r="A33" s="13"/>
      <c r="D33" s="1177">
        <f t="shared" si="1"/>
        <v>2046</v>
      </c>
      <c r="E33" s="188">
        <v>2.5843858640679843E-2</v>
      </c>
      <c r="F33" s="191">
        <f t="shared" si="0"/>
        <v>2.1285580540391091E-3</v>
      </c>
    </row>
    <row r="34" spans="1:6" ht="15" customHeight="1" x14ac:dyDescent="0.35">
      <c r="A34" s="13"/>
      <c r="D34" s="1177">
        <f t="shared" si="1"/>
        <v>2047</v>
      </c>
      <c r="E34" s="188">
        <v>2.5908157657386906E-2</v>
      </c>
      <c r="F34" s="191">
        <f t="shared" si="0"/>
        <v>2.1337922838327028E-3</v>
      </c>
    </row>
    <row r="35" spans="1:6" ht="15" customHeight="1" x14ac:dyDescent="0.35">
      <c r="A35" s="13"/>
      <c r="D35" s="1177">
        <f t="shared" si="1"/>
        <v>2048</v>
      </c>
      <c r="E35" s="188">
        <v>2.596835999829139E-2</v>
      </c>
      <c r="F35" s="191">
        <f t="shared" si="0"/>
        <v>2.1386927531674704E-3</v>
      </c>
    </row>
    <row r="36" spans="1:6" ht="15" customHeight="1" x14ac:dyDescent="0.35">
      <c r="A36" s="13"/>
      <c r="D36" s="1177">
        <f t="shared" si="1"/>
        <v>2049</v>
      </c>
      <c r="E36" s="188">
        <v>2.6024685244450705E-2</v>
      </c>
      <c r="F36" s="191">
        <f t="shared" si="0"/>
        <v>2.1432773884009215E-3</v>
      </c>
    </row>
    <row r="37" spans="1:6" ht="15" customHeight="1" x14ac:dyDescent="0.35">
      <c r="A37" s="13"/>
      <c r="D37" s="1177">
        <f t="shared" si="1"/>
        <v>2050</v>
      </c>
      <c r="E37" s="188">
        <v>2.6077422323732526E-2</v>
      </c>
      <c r="F37" s="191">
        <f t="shared" si="0"/>
        <v>2.1475697530020099E-3</v>
      </c>
    </row>
    <row r="38" spans="1:6" ht="15" customHeight="1" x14ac:dyDescent="0.35">
      <c r="A38" s="13"/>
      <c r="D38" s="1177">
        <f t="shared" si="1"/>
        <v>2051</v>
      </c>
      <c r="E38" s="188">
        <v>2.612678718763612E-2</v>
      </c>
      <c r="F38" s="191">
        <f t="shared" si="0"/>
        <v>2.151587463758986E-3</v>
      </c>
    </row>
    <row r="39" spans="1:6" ht="15" customHeight="1" x14ac:dyDescent="0.35">
      <c r="A39" s="13"/>
      <c r="D39" s="1177">
        <f t="shared" si="1"/>
        <v>2052</v>
      </c>
      <c r="E39" s="188">
        <v>2.6173006435578974E-2</v>
      </c>
      <c r="F39" s="191">
        <f t="shared" si="0"/>
        <v>2.1553489983210383E-3</v>
      </c>
    </row>
    <row r="40" spans="1:6" ht="15" customHeight="1" x14ac:dyDescent="0.35">
      <c r="A40" s="13"/>
      <c r="D40" s="1177">
        <f t="shared" si="1"/>
        <v>2053</v>
      </c>
      <c r="E40" s="188">
        <v>2.6216248889579678E-2</v>
      </c>
      <c r="F40" s="191">
        <f t="shared" si="0"/>
        <v>2.1588681271089705E-3</v>
      </c>
    </row>
    <row r="41" spans="1:6" ht="15" customHeight="1" x14ac:dyDescent="0.35">
      <c r="A41" s="13"/>
      <c r="D41" s="1177">
        <f t="shared" si="1"/>
        <v>2054</v>
      </c>
      <c r="E41" s="188">
        <v>2.6256736492516797E-2</v>
      </c>
      <c r="F41" s="191">
        <f t="shared" si="0"/>
        <v>2.1621629392152286E-3</v>
      </c>
    </row>
    <row r="42" spans="1:6" ht="6" customHeight="1" thickBot="1" x14ac:dyDescent="0.4">
      <c r="D42" s="20"/>
      <c r="E42" s="24"/>
      <c r="F42" s="24"/>
    </row>
    <row r="43" spans="1:6" ht="6" customHeight="1" thickTop="1" x14ac:dyDescent="0.35"/>
    <row r="44" spans="1:6" ht="15" customHeight="1" x14ac:dyDescent="0.35">
      <c r="D44" s="16" t="s">
        <v>26</v>
      </c>
      <c r="E44" s="11"/>
    </row>
    <row r="45" spans="1:6" ht="30" customHeight="1" x14ac:dyDescent="0.35">
      <c r="D45" s="2219" t="s">
        <v>679</v>
      </c>
      <c r="E45" s="2219"/>
      <c r="F45" s="2219"/>
    </row>
    <row r="46" spans="1:6" ht="75" customHeight="1" x14ac:dyDescent="0.35">
      <c r="D46" s="2209" t="str">
        <f>E8&amp;": 2024 rate from U.S. Bureau of Labor Statistics, 'Consumer Price Index for all Urban Consumers (CPI-U),' January 2025. 2025+ rates derived from Federal Reserve Bank of Cleveland, 'Inflation Expectations,' "&amp;"Updated February 15, 2025."</f>
        <v>[A]: 2024 rate from U.S. Bureau of Labor Statistics, 'Consumer Price Index for all Urban Consumers (CPI-U),' January 2025. 2025+ rates derived from Federal Reserve Bank of Cleveland, 'Inflation Expectations,' Updated February 15, 2025.</v>
      </c>
      <c r="E46" s="2209"/>
      <c r="F46" s="2209"/>
    </row>
    <row r="47" spans="1:6" ht="15" hidden="1" customHeight="1" x14ac:dyDescent="0.35">
      <c r="D47" s="2181"/>
      <c r="E47" s="2181"/>
      <c r="F47" s="2181"/>
    </row>
    <row r="48" spans="1:6" ht="15" customHeight="1" x14ac:dyDescent="0.35">
      <c r="D48" s="93" t="str">
        <f>F8&amp;": (1 + "&amp;E8&amp;")^ (1/12) - 1."</f>
        <v>[B]: (1 + [A])^ (1/12) - 1.</v>
      </c>
      <c r="E48" s="1197"/>
      <c r="F48" s="93"/>
    </row>
    <row r="49" spans="4:5" ht="32.15" customHeight="1" x14ac:dyDescent="0.35">
      <c r="D49" s="11"/>
      <c r="E49" s="11"/>
    </row>
  </sheetData>
  <mergeCells count="2">
    <mergeCell ref="D46:F46"/>
    <mergeCell ref="D45:F45"/>
  </mergeCells>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488-F0C4-471B-B2CA-E184C96EAC87}">
  <sheetPr codeName="Sheet39">
    <pageSetUpPr autoPageBreaks="0"/>
  </sheetPr>
  <dimension ref="A1:AH30"/>
  <sheetViews>
    <sheetView showGridLines="0" zoomScale="70" zoomScaleNormal="70" workbookViewId="0"/>
  </sheetViews>
  <sheetFormatPr defaultColWidth="8.7265625" defaultRowHeight="15" customHeight="1" x14ac:dyDescent="0.35"/>
  <cols>
    <col min="1" max="3" width="13.54296875" style="26" customWidth="1"/>
    <col min="4" max="4" width="52.1796875" style="26" bestFit="1" customWidth="1"/>
    <col min="5" max="5" width="10.81640625" style="26" bestFit="1" customWidth="1"/>
    <col min="6" max="6" width="8.7265625" style="26"/>
    <col min="7" max="7" width="14.26953125" style="26" bestFit="1" customWidth="1"/>
    <col min="8" max="8" width="2.7265625" style="26" customWidth="1"/>
    <col min="9" max="34" width="13.453125" style="26" bestFit="1" customWidth="1"/>
    <col min="35" max="16384" width="8.7265625" style="26"/>
  </cols>
  <sheetData>
    <row r="1" spans="1:34" ht="15" customHeight="1" x14ac:dyDescent="0.35">
      <c r="A1" s="81" t="s">
        <v>275</v>
      </c>
    </row>
    <row r="3" spans="1:34" s="87" customFormat="1" ht="15" customHeight="1" x14ac:dyDescent="0.35">
      <c r="D3" s="88" t="str">
        <f>LEFT($D4, FIND(":",$D4)-1)</f>
        <v>Table C5</v>
      </c>
      <c r="E3" s="89"/>
    </row>
    <row r="4" spans="1:34" s="87" customFormat="1" ht="15" customHeight="1" x14ac:dyDescent="0.35">
      <c r="D4" s="86" t="str">
        <f>ToC!$J$44</f>
        <v>Table C5: BESS Augmentation Cost Trends</v>
      </c>
      <c r="E4" s="89"/>
    </row>
    <row r="5" spans="1:34" s="87" customFormat="1" ht="6" customHeight="1" thickBot="1" x14ac:dyDescent="0.4">
      <c r="D5" s="90"/>
      <c r="E5" s="91"/>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row>
    <row r="6" spans="1:34" s="87" customFormat="1" ht="6" customHeight="1" thickTop="1" x14ac:dyDescent="0.35">
      <c r="E6" s="89"/>
    </row>
    <row r="7" spans="1:34" s="151" customFormat="1" ht="15" customHeight="1" x14ac:dyDescent="0.35">
      <c r="D7" s="2129" t="s">
        <v>40</v>
      </c>
      <c r="E7" s="313"/>
      <c r="F7" s="312"/>
      <c r="G7" s="313"/>
      <c r="H7" s="173"/>
      <c r="I7" s="313"/>
    </row>
    <row r="8" spans="1:34" s="313" customFormat="1" ht="15" customHeight="1" x14ac:dyDescent="0.35">
      <c r="A8" s="313">
        <v>1</v>
      </c>
      <c r="D8" s="215" t="str">
        <f>Control!$D$11</f>
        <v>CONE Area</v>
      </c>
      <c r="F8" s="312" t="str">
        <f t="shared" ref="F8:F22" si="0">"["&amp;A8&amp;"]"</f>
        <v>[1]</v>
      </c>
      <c r="G8" s="313" t="str">
        <f>Control!$D$3</f>
        <v>Control Table</v>
      </c>
      <c r="H8" s="173"/>
      <c r="I8" s="166" t="str">
        <f>Control!$H$11</f>
        <v>Rest of RTO</v>
      </c>
    </row>
    <row r="9" spans="1:34" s="313" customFormat="1" ht="15" customHeight="1" x14ac:dyDescent="0.35">
      <c r="A9" s="313">
        <f t="shared" ref="A9:A14" si="1">A8+1</f>
        <v>2</v>
      </c>
      <c r="D9" s="215" t="s">
        <v>530</v>
      </c>
      <c r="F9" s="312" t="str">
        <f t="shared" si="0"/>
        <v>[2]</v>
      </c>
      <c r="G9" s="313" t="str">
        <f>Control!$D$3</f>
        <v>Control Table</v>
      </c>
      <c r="H9" s="173"/>
      <c r="I9" s="313">
        <f>YEAR(Control!$H$19)</f>
        <v>2028</v>
      </c>
    </row>
    <row r="10" spans="1:34" s="313" customFormat="1" ht="15" customHeight="1" x14ac:dyDescent="0.35">
      <c r="A10" s="313">
        <f t="shared" si="1"/>
        <v>3</v>
      </c>
      <c r="D10" s="215" t="str">
        <f>Control!$D$55</f>
        <v>First Augmentation Year</v>
      </c>
      <c r="F10" s="312" t="str">
        <f t="shared" si="0"/>
        <v>[3]</v>
      </c>
      <c r="G10" s="313" t="str">
        <f>Control!$D$3</f>
        <v>Control Table</v>
      </c>
      <c r="H10" s="173"/>
      <c r="I10" s="713">
        <f>Control!$H$55</f>
        <v>5</v>
      </c>
    </row>
    <row r="11" spans="1:34" s="313" customFormat="1" ht="15" customHeight="1" x14ac:dyDescent="0.35">
      <c r="A11" s="313">
        <f t="shared" si="1"/>
        <v>4</v>
      </c>
      <c r="D11" s="215" t="s">
        <v>536</v>
      </c>
      <c r="F11" s="312" t="str">
        <f t="shared" si="0"/>
        <v>[4]</v>
      </c>
      <c r="G11" s="313" t="str">
        <f>F9&amp;" + "&amp;F10&amp;" - 1"</f>
        <v>[2] + [3] - 1</v>
      </c>
      <c r="H11" s="173"/>
      <c r="I11" s="245">
        <f>I9+I10-1</f>
        <v>2032</v>
      </c>
    </row>
    <row r="12" spans="1:34" s="313" customFormat="1" ht="15" customHeight="1" x14ac:dyDescent="0.35">
      <c r="A12" s="313">
        <f t="shared" si="1"/>
        <v>5</v>
      </c>
      <c r="D12" s="215" t="str">
        <f>Control!$D$29</f>
        <v>Tariff Adjustment Factor for Batteries and Enclosures</v>
      </c>
      <c r="E12" s="313" t="s">
        <v>506</v>
      </c>
      <c r="F12" s="312" t="str">
        <f t="shared" si="0"/>
        <v>[5]</v>
      </c>
      <c r="G12" s="313" t="str">
        <f>Control!$D$3</f>
        <v>Control Table</v>
      </c>
      <c r="H12" s="173"/>
      <c r="I12" s="2154">
        <f>Control!$H$29</f>
        <v>1</v>
      </c>
    </row>
    <row r="13" spans="1:34" s="151" customFormat="1" ht="15" customHeight="1" x14ac:dyDescent="0.35">
      <c r="A13" s="313">
        <f t="shared" si="1"/>
        <v>6</v>
      </c>
      <c r="D13" s="216" t="s">
        <v>563</v>
      </c>
      <c r="E13" s="313" t="str">
        <f>YEAR(Control!$H$18)&amp;"$/kWh"</f>
        <v>2025$/kWh</v>
      </c>
      <c r="F13" s="312" t="str">
        <f t="shared" si="0"/>
        <v>[6]</v>
      </c>
      <c r="G13" s="313" t="s">
        <v>39</v>
      </c>
      <c r="H13" s="173"/>
      <c r="I13" s="158">
        <f>_xlfn.XLOOKUP($I$8,'S&amp;L Augmentation Details'!$F$46:$F$50,'S&amp;L Augmentation Details'!$G$46:$G$50)*$I$12</f>
        <v>208.1500885398429</v>
      </c>
    </row>
    <row r="14" spans="1:34" s="313" customFormat="1" ht="15" customHeight="1" x14ac:dyDescent="0.35">
      <c r="A14" s="313">
        <f t="shared" si="1"/>
        <v>7</v>
      </c>
      <c r="D14" s="215" t="str">
        <f>Control!$D$30</f>
        <v>NREL ATB Curve First Year of Real Decline</v>
      </c>
      <c r="F14" s="312" t="str">
        <f t="shared" si="0"/>
        <v>[7]</v>
      </c>
      <c r="G14" s="313" t="str">
        <f>Control!$D$3</f>
        <v>Control Table</v>
      </c>
      <c r="H14" s="173"/>
      <c r="I14" s="1151">
        <f>Control!$H$30</f>
        <v>2030</v>
      </c>
    </row>
    <row r="15" spans="1:34" s="151" customFormat="1" ht="6" customHeight="1" x14ac:dyDescent="0.35">
      <c r="D15" s="250"/>
      <c r="E15" s="159"/>
      <c r="F15" s="244"/>
      <c r="G15" s="159"/>
      <c r="H15" s="251"/>
      <c r="I15" s="172"/>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row>
    <row r="16" spans="1:34" s="151" customFormat="1" ht="6" customHeight="1" x14ac:dyDescent="0.35">
      <c r="D16" s="245"/>
      <c r="F16" s="225"/>
      <c r="H16" s="173"/>
      <c r="I16" s="171"/>
    </row>
    <row r="17" spans="1:34" s="151" customFormat="1" ht="15" customHeight="1" x14ac:dyDescent="0.35">
      <c r="D17" s="231" t="s">
        <v>226</v>
      </c>
      <c r="F17" s="225"/>
      <c r="H17" s="173"/>
      <c r="I17" s="171"/>
    </row>
    <row r="18" spans="1:34" s="151" customFormat="1" ht="15" customHeight="1" x14ac:dyDescent="0.35">
      <c r="A18" s="151">
        <f>MAX($A$13:A17)+1</f>
        <v>8</v>
      </c>
      <c r="D18" s="216" t="s">
        <v>27</v>
      </c>
      <c r="F18" s="312" t="str">
        <f t="shared" si="0"/>
        <v>[8]</v>
      </c>
      <c r="H18" s="173"/>
      <c r="I18" s="313">
        <v>2025</v>
      </c>
      <c r="J18" s="313">
        <f t="shared" ref="J18:AH18" si="2">I18+1</f>
        <v>2026</v>
      </c>
      <c r="K18" s="313">
        <f t="shared" si="2"/>
        <v>2027</v>
      </c>
      <c r="L18" s="313">
        <f t="shared" si="2"/>
        <v>2028</v>
      </c>
      <c r="M18" s="313">
        <f t="shared" si="2"/>
        <v>2029</v>
      </c>
      <c r="N18" s="313">
        <f t="shared" si="2"/>
        <v>2030</v>
      </c>
      <c r="O18" s="313">
        <f t="shared" si="2"/>
        <v>2031</v>
      </c>
      <c r="P18" s="313">
        <f t="shared" si="2"/>
        <v>2032</v>
      </c>
      <c r="Q18" s="313">
        <f t="shared" si="2"/>
        <v>2033</v>
      </c>
      <c r="R18" s="313">
        <f t="shared" si="2"/>
        <v>2034</v>
      </c>
      <c r="S18" s="313">
        <f t="shared" si="2"/>
        <v>2035</v>
      </c>
      <c r="T18" s="313">
        <f t="shared" si="2"/>
        <v>2036</v>
      </c>
      <c r="U18" s="313">
        <f t="shared" si="2"/>
        <v>2037</v>
      </c>
      <c r="V18" s="313">
        <f t="shared" si="2"/>
        <v>2038</v>
      </c>
      <c r="W18" s="313">
        <f t="shared" si="2"/>
        <v>2039</v>
      </c>
      <c r="X18" s="313">
        <f t="shared" si="2"/>
        <v>2040</v>
      </c>
      <c r="Y18" s="313">
        <f t="shared" si="2"/>
        <v>2041</v>
      </c>
      <c r="Z18" s="313">
        <f t="shared" si="2"/>
        <v>2042</v>
      </c>
      <c r="AA18" s="313">
        <f t="shared" si="2"/>
        <v>2043</v>
      </c>
      <c r="AB18" s="313">
        <f t="shared" si="2"/>
        <v>2044</v>
      </c>
      <c r="AC18" s="313">
        <f t="shared" si="2"/>
        <v>2045</v>
      </c>
      <c r="AD18" s="313">
        <f t="shared" si="2"/>
        <v>2046</v>
      </c>
      <c r="AE18" s="313">
        <f t="shared" si="2"/>
        <v>2047</v>
      </c>
      <c r="AF18" s="313">
        <f t="shared" si="2"/>
        <v>2048</v>
      </c>
      <c r="AG18" s="313">
        <f t="shared" si="2"/>
        <v>2049</v>
      </c>
      <c r="AH18" s="313">
        <f t="shared" si="2"/>
        <v>2050</v>
      </c>
    </row>
    <row r="19" spans="1:34" s="151" customFormat="1" ht="15" customHeight="1" x14ac:dyDescent="0.35">
      <c r="A19" s="151">
        <f>MAX($A$13:A18)+1</f>
        <v>9</v>
      </c>
      <c r="D19" s="216" t="s">
        <v>297</v>
      </c>
      <c r="E19" s="151" t="str">
        <f>"2022$/kW"</f>
        <v>2022$/kW</v>
      </c>
      <c r="F19" s="225" t="str">
        <f t="shared" si="0"/>
        <v>[9]</v>
      </c>
      <c r="G19" s="313" t="s">
        <v>39</v>
      </c>
      <c r="H19" s="173"/>
      <c r="I19" s="1323">
        <v>1551.0712981989618</v>
      </c>
      <c r="J19" s="1323">
        <v>1500.8959153232565</v>
      </c>
      <c r="K19" s="1323">
        <v>1450.7168519533723</v>
      </c>
      <c r="L19" s="1323">
        <v>1400.5336631755151</v>
      </c>
      <c r="M19" s="1323">
        <v>1350.3458293542365</v>
      </c>
      <c r="N19" s="1323">
        <v>1300.1527397584086</v>
      </c>
      <c r="O19" s="1323">
        <v>1280.1002849394461</v>
      </c>
      <c r="P19" s="1323">
        <v>1260.0484547505048</v>
      </c>
      <c r="Q19" s="1323">
        <v>1239.9972735264564</v>
      </c>
      <c r="R19" s="1323">
        <v>1219.9467668828822</v>
      </c>
      <c r="S19" s="1323">
        <v>1199.8969618014498</v>
      </c>
      <c r="T19" s="1323">
        <v>1179.84788672221</v>
      </c>
      <c r="U19" s="1323">
        <v>1159.7995716434805</v>
      </c>
      <c r="V19" s="1323">
        <v>1139.7520482300529</v>
      </c>
      <c r="W19" s="1323">
        <v>1119.7053499305409</v>
      </c>
      <c r="X19" s="1323">
        <v>1099.6595121047919</v>
      </c>
      <c r="Y19" s="1323">
        <v>1079.6145721623698</v>
      </c>
      <c r="Z19" s="1323">
        <v>1059.5705697132621</v>
      </c>
      <c r="AA19" s="1323">
        <v>1039.5275467320794</v>
      </c>
      <c r="AB19" s="1323">
        <v>1019.4855477371818</v>
      </c>
      <c r="AC19" s="1323">
        <v>999.44461998633926</v>
      </c>
      <c r="AD19" s="1323">
        <v>979.40481369073291</v>
      </c>
      <c r="AE19" s="1323">
        <v>959.3661822493375</v>
      </c>
      <c r="AF19" s="1323">
        <v>939.32878250598333</v>
      </c>
      <c r="AG19" s="1323">
        <v>919.29267503170115</v>
      </c>
      <c r="AH19" s="1323">
        <v>899.25792443529997</v>
      </c>
    </row>
    <row r="20" spans="1:34" s="151" customFormat="1" ht="15" customHeight="1" x14ac:dyDescent="0.35">
      <c r="A20" s="151">
        <f>MAX($A$13:A19)+1</f>
        <v>10</v>
      </c>
      <c r="D20" s="215" t="str">
        <f>"Index ("&amp;I14-1&amp;"=100)"</f>
        <v>Index (2029=100)</v>
      </c>
      <c r="E20" s="313"/>
      <c r="F20" s="312" t="str">
        <f t="shared" si="0"/>
        <v>[10]</v>
      </c>
      <c r="G20" s="313" t="s">
        <v>39</v>
      </c>
      <c r="H20" s="313"/>
      <c r="I20" s="228">
        <f>IFERROR(IF(I18&gt;=$I$14,I$19/_xlfn.XLOOKUP($I$14-1,$I$18:$AH$18,$I$19:$AH$19)*100,100),0)</f>
        <v>100</v>
      </c>
      <c r="J20" s="228">
        <f t="shared" ref="J20:AH20" si="3">IFERROR(IF(J18&gt;=$I$14,J$19/_xlfn.XLOOKUP($I$14-1,$I$18:$AH$18,$I$19:$AH$19)*100,100),0)</f>
        <v>100</v>
      </c>
      <c r="K20" s="228">
        <f t="shared" si="3"/>
        <v>100</v>
      </c>
      <c r="L20" s="228">
        <f t="shared" si="3"/>
        <v>100</v>
      </c>
      <c r="M20" s="228">
        <f t="shared" si="3"/>
        <v>100</v>
      </c>
      <c r="N20" s="228">
        <f t="shared" si="3"/>
        <v>96.282945560706395</v>
      </c>
      <c r="O20" s="228">
        <f t="shared" si="3"/>
        <v>94.797958945940294</v>
      </c>
      <c r="P20" s="228">
        <f t="shared" si="3"/>
        <v>93.313018588215016</v>
      </c>
      <c r="Q20" s="228">
        <f t="shared" si="3"/>
        <v>91.828126289651962</v>
      </c>
      <c r="R20" s="228">
        <f t="shared" si="3"/>
        <v>90.343283947215667</v>
      </c>
      <c r="S20" s="228">
        <f t="shared" si="3"/>
        <v>88.858493559036319</v>
      </c>
      <c r="T20" s="228">
        <f t="shared" si="3"/>
        <v>87.373757231244824</v>
      </c>
      <c r="U20" s="228">
        <f t="shared" si="3"/>
        <v>85.889077185369672</v>
      </c>
      <c r="V20" s="228">
        <f t="shared" si="3"/>
        <v>84.40445576635031</v>
      </c>
      <c r="W20" s="228">
        <f t="shared" si="3"/>
        <v>82.919895451227291</v>
      </c>
      <c r="X20" s="228">
        <f t="shared" si="3"/>
        <v>81.435398858577742</v>
      </c>
      <c r="Y20" s="228">
        <f t="shared" si="3"/>
        <v>79.950968758770784</v>
      </c>
      <c r="Z20" s="228">
        <f t="shared" si="3"/>
        <v>78.466608085128158</v>
      </c>
      <c r="AA20" s="228">
        <f t="shared" si="3"/>
        <v>76.982319946083962</v>
      </c>
      <c r="AB20" s="228">
        <f t="shared" si="3"/>
        <v>75.498107638450008</v>
      </c>
      <c r="AC20" s="228">
        <f t="shared" si="3"/>
        <v>74.01397466190528</v>
      </c>
      <c r="AD20" s="228">
        <f t="shared" si="3"/>
        <v>72.529924734844016</v>
      </c>
      <c r="AE20" s="228">
        <f t="shared" si="3"/>
        <v>71.045961811732809</v>
      </c>
      <c r="AF20" s="228">
        <f t="shared" si="3"/>
        <v>69.562090102147394</v>
      </c>
      <c r="AG20" s="228">
        <f t="shared" si="3"/>
        <v>68.07831409168169</v>
      </c>
      <c r="AH20" s="228">
        <f t="shared" si="3"/>
        <v>66.594638564947758</v>
      </c>
    </row>
    <row r="21" spans="1:34" s="313" customFormat="1" ht="15" customHeight="1" x14ac:dyDescent="0.35">
      <c r="A21" s="313">
        <f>MAX($A$13:A20)+1</f>
        <v>11</v>
      </c>
      <c r="D21" s="215" t="str">
        <f>"Augmentation Index ("&amp;I11&amp;" = 100)"</f>
        <v>Augmentation Index (2032 = 100)</v>
      </c>
      <c r="F21" s="312" t="str">
        <f t="shared" si="0"/>
        <v>[11]</v>
      </c>
      <c r="G21" s="313" t="s">
        <v>39</v>
      </c>
      <c r="I21" s="228">
        <f t="shared" ref="I21:AH21" si="4">IFERROR(IF(I$18&gt;$I$11,I$20/_xlfn.XLOOKUP($I$11-1,$I$18:$AH$18,$I$20:$AH$20)*100,100),0)</f>
        <v>100</v>
      </c>
      <c r="J21" s="228">
        <f t="shared" si="4"/>
        <v>100</v>
      </c>
      <c r="K21" s="228">
        <f t="shared" si="4"/>
        <v>100</v>
      </c>
      <c r="L21" s="228">
        <f t="shared" si="4"/>
        <v>100</v>
      </c>
      <c r="M21" s="228">
        <f t="shared" si="4"/>
        <v>100</v>
      </c>
      <c r="N21" s="228">
        <f t="shared" si="4"/>
        <v>100</v>
      </c>
      <c r="O21" s="228">
        <f t="shared" si="4"/>
        <v>100</v>
      </c>
      <c r="P21" s="228">
        <f t="shared" si="4"/>
        <v>100</v>
      </c>
      <c r="Q21" s="228">
        <f t="shared" si="4"/>
        <v>96.86719768093117</v>
      </c>
      <c r="R21" s="228">
        <f t="shared" si="4"/>
        <v>95.300874567072739</v>
      </c>
      <c r="S21" s="228">
        <f t="shared" si="4"/>
        <v>93.734606258462776</v>
      </c>
      <c r="T21" s="228">
        <f t="shared" si="4"/>
        <v>92.168394976806184</v>
      </c>
      <c r="U21" s="228">
        <f t="shared" si="4"/>
        <v>90.60224306553792</v>
      </c>
      <c r="V21" s="228">
        <f t="shared" si="4"/>
        <v>89.036152998276037</v>
      </c>
      <c r="W21" s="228">
        <f t="shared" si="4"/>
        <v>87.470127387988796</v>
      </c>
      <c r="X21" s="228">
        <f t="shared" si="4"/>
        <v>85.904168996947789</v>
      </c>
      <c r="Y21" s="228">
        <f t="shared" si="4"/>
        <v>84.338280747546278</v>
      </c>
      <c r="Z21" s="228">
        <f t="shared" si="4"/>
        <v>82.772465734072085</v>
      </c>
      <c r="AA21" s="228">
        <f t="shared" si="4"/>
        <v>81.206727235534757</v>
      </c>
      <c r="AB21" s="228">
        <f t="shared" si="4"/>
        <v>79.641068729658755</v>
      </c>
      <c r="AC21" s="228">
        <f t="shared" si="4"/>
        <v>78.07549390816807</v>
      </c>
      <c r="AD21" s="228">
        <f t="shared" si="4"/>
        <v>76.510006693503925</v>
      </c>
      <c r="AE21" s="228">
        <f t="shared" si="4"/>
        <v>74.944611257134397</v>
      </c>
      <c r="AF21" s="228">
        <f t="shared" si="4"/>
        <v>73.37931203963582</v>
      </c>
      <c r="AG21" s="228">
        <f t="shared" si="4"/>
        <v>71.814113772749252</v>
      </c>
      <c r="AH21" s="228">
        <f t="shared" si="4"/>
        <v>70.249021503642467</v>
      </c>
    </row>
    <row r="22" spans="1:34" s="151" customFormat="1" ht="15" customHeight="1" x14ac:dyDescent="0.35">
      <c r="A22" s="313">
        <f>MAX($A$13:A21)+1</f>
        <v>12</v>
      </c>
      <c r="D22" s="216" t="s">
        <v>411</v>
      </c>
      <c r="E22" s="151" t="str">
        <f>E13</f>
        <v>2025$/kWh</v>
      </c>
      <c r="F22" s="225" t="str">
        <f t="shared" si="0"/>
        <v>[12]</v>
      </c>
      <c r="G22" s="313" t="str">
        <f>$F$13&amp;" x ("&amp;$F$21&amp;" / 100)"</f>
        <v>[6] x ([11] / 100)</v>
      </c>
      <c r="I22" s="158">
        <f>$I$13*(I$21/100)</f>
        <v>208.1500885398429</v>
      </c>
      <c r="J22" s="158">
        <f t="shared" ref="J22:AH22" si="5">IF(J18&lt;2026,$I$13*(J$21/100),$I$13*(J$21/100))</f>
        <v>208.1500885398429</v>
      </c>
      <c r="K22" s="158">
        <f t="shared" si="5"/>
        <v>208.1500885398429</v>
      </c>
      <c r="L22" s="158">
        <f t="shared" si="5"/>
        <v>208.1500885398429</v>
      </c>
      <c r="M22" s="158">
        <f t="shared" si="5"/>
        <v>208.1500885398429</v>
      </c>
      <c r="N22" s="158">
        <f t="shared" si="5"/>
        <v>208.1500885398429</v>
      </c>
      <c r="O22" s="158">
        <f t="shared" si="5"/>
        <v>208.1500885398429</v>
      </c>
      <c r="P22" s="158">
        <f t="shared" si="5"/>
        <v>208.1500885398429</v>
      </c>
      <c r="Q22" s="158">
        <f t="shared" si="5"/>
        <v>201.62915773892288</v>
      </c>
      <c r="R22" s="158">
        <f t="shared" si="5"/>
        <v>198.36885479060652</v>
      </c>
      <c r="S22" s="158">
        <f t="shared" si="5"/>
        <v>195.10866591946339</v>
      </c>
      <c r="T22" s="158">
        <f t="shared" si="5"/>
        <v>191.84859574997418</v>
      </c>
      <c r="U22" s="158">
        <f t="shared" si="5"/>
        <v>188.58864916000087</v>
      </c>
      <c r="V22" s="158">
        <f t="shared" si="5"/>
        <v>185.32883129838157</v>
      </c>
      <c r="W22" s="158">
        <f t="shared" si="5"/>
        <v>182.06914760401204</v>
      </c>
      <c r="X22" s="158">
        <f t="shared" si="5"/>
        <v>178.80960382656312</v>
      </c>
      <c r="Y22" s="158">
        <f t="shared" si="5"/>
        <v>175.55020604899886</v>
      </c>
      <c r="Z22" s="158">
        <f t="shared" si="5"/>
        <v>172.29096071208218</v>
      </c>
      <c r="AA22" s="158">
        <f t="shared" si="5"/>
        <v>169.03187464107432</v>
      </c>
      <c r="AB22" s="158">
        <f t="shared" si="5"/>
        <v>165.77295507486184</v>
      </c>
      <c r="AC22" s="158">
        <f t="shared" si="5"/>
        <v>162.51420969777149</v>
      </c>
      <c r="AD22" s="158">
        <f t="shared" si="5"/>
        <v>159.25564667436817</v>
      </c>
      <c r="AE22" s="158">
        <f t="shared" si="5"/>
        <v>155.99727468756632</v>
      </c>
      <c r="AF22" s="158">
        <f t="shared" si="5"/>
        <v>152.73910298042958</v>
      </c>
      <c r="AG22" s="158">
        <f t="shared" si="5"/>
        <v>149.48114140208108</v>
      </c>
      <c r="AH22" s="158">
        <f t="shared" si="5"/>
        <v>146.22340045820508</v>
      </c>
    </row>
    <row r="23" spans="1:34" s="87" customFormat="1" ht="6" customHeight="1" thickBot="1" x14ac:dyDescent="0.4">
      <c r="D23" s="90"/>
      <c r="E23" s="91"/>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row>
    <row r="24" spans="1:34" s="87" customFormat="1" ht="6" customHeight="1" thickTop="1" x14ac:dyDescent="0.35">
      <c r="E24" s="89"/>
    </row>
    <row r="25" spans="1:34" ht="15" customHeight="1" x14ac:dyDescent="0.35">
      <c r="D25" s="26" t="s">
        <v>50</v>
      </c>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row>
    <row r="26" spans="1:34" ht="15" customHeight="1" x14ac:dyDescent="0.35">
      <c r="D26" s="404" t="s">
        <v>679</v>
      </c>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row>
    <row r="27" spans="1:34" ht="15" customHeight="1" x14ac:dyDescent="0.35">
      <c r="D27" s="93" t="str">
        <f>F13&amp;": From "&amp;'S&amp;L Augmentation Details'!$D$3&amp;" x "&amp;$F$12&amp;"."</f>
        <v>[6]: From Table C13 x [5].</v>
      </c>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row>
    <row r="28" spans="1:34" ht="15" customHeight="1" x14ac:dyDescent="0.35">
      <c r="D28" s="93" t="str">
        <f>$F19&amp;": 2024 National Renewable Energy Laboratory (NREL) Annual Technology Baseline, Utility-Scale Battery Storage (Moderate Case)."</f>
        <v>[9]: 2024 National Renewable Energy Laboratory (NREL) Annual Technology Baseline, Utility-Scale Battery Storage (Moderate Case).</v>
      </c>
    </row>
    <row r="29" spans="1:34" ht="15" customHeight="1" x14ac:dyDescent="0.35">
      <c r="D29" s="93" t="str">
        <f>$F20&amp;": If "&amp;F18&amp;" &gt;= "&amp;$F$14&amp;", ("&amp;$F$19&amp;" / "&amp;$F$19&amp;" in "&amp;$I$14-1&amp;") x 100. Otherwise, 100. BESS Equipment costs are assumed to be constant real until "&amp;I14&amp;"."</f>
        <v>[10]: If [8] &gt;= [7], ([9] / [9] in 2029) x 100. Otherwise, 100. BESS Equipment costs are assumed to be constant real until 2030.</v>
      </c>
    </row>
    <row r="30" spans="1:34" ht="15" customHeight="1" x14ac:dyDescent="0.35">
      <c r="D30" s="93" t="str">
        <f>$F21&amp;": If "&amp;F18&amp;" &gt; "&amp;$F$11&amp;", ("&amp;$F$20&amp;" / "&amp;$F$20&amp;" in "&amp;$I$11&amp;") x 100. Otherwise, 100."</f>
        <v>[11]: If [8] &gt; [4], ([10] / [10] in 2032) x 100. Otherwise, 100.</v>
      </c>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ignoredErrors>
    <ignoredError sqref="G11"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3624-FED3-4042-9A64-38FE9C7B0E5B}">
  <sheetPr codeName="Sheet40">
    <pageSetUpPr autoPageBreaks="0"/>
  </sheetPr>
  <dimension ref="A1:AA71"/>
  <sheetViews>
    <sheetView showGridLines="0" zoomScale="70" zoomScaleNormal="70" workbookViewId="0"/>
  </sheetViews>
  <sheetFormatPr defaultColWidth="8.7265625" defaultRowHeight="15" customHeight="1" outlineLevelCol="1" x14ac:dyDescent="0.35"/>
  <cols>
    <col min="1" max="3" width="13.54296875" style="5" customWidth="1"/>
    <col min="4" max="4" width="6.26953125" style="5" bestFit="1" customWidth="1"/>
    <col min="5" max="5" width="18.54296875" style="5" bestFit="1" customWidth="1"/>
    <col min="6" max="6" width="8.7265625" style="17"/>
    <col min="7" max="8" width="15.453125" style="5" bestFit="1" customWidth="1"/>
    <col min="9" max="9" width="15.54296875" style="5" bestFit="1" customWidth="1"/>
    <col min="10" max="10" width="0.81640625" style="5" customWidth="1"/>
    <col min="11" max="12" width="15.453125" style="5" bestFit="1" customWidth="1"/>
    <col min="13" max="13" width="15.54296875" style="5" bestFit="1" customWidth="1"/>
    <col min="14" max="14" width="15.7265625" style="5" bestFit="1" customWidth="1"/>
    <col min="15" max="15" width="16.26953125" style="5" bestFit="1" customWidth="1"/>
    <col min="16" max="19" width="8.7265625" style="5"/>
    <col min="20" max="20" width="18.453125" style="5" customWidth="1"/>
    <col min="21" max="21" width="8.7265625" style="36" hidden="1" customWidth="1" outlineLevel="1"/>
    <col min="22" max="22" width="8.7265625" style="5" collapsed="1"/>
    <col min="23" max="16384" width="8.7265625" style="5"/>
  </cols>
  <sheetData>
    <row r="1" spans="1:27" ht="15" customHeight="1" x14ac:dyDescent="0.35">
      <c r="A1" s="81" t="s">
        <v>275</v>
      </c>
      <c r="B1" s="26"/>
      <c r="C1" s="26"/>
      <c r="D1" s="26"/>
      <c r="E1" s="26"/>
      <c r="F1" s="92">
        <v>64</v>
      </c>
      <c r="G1" s="5">
        <f>MAX($F$1:F1)+1</f>
        <v>65</v>
      </c>
      <c r="H1" s="5">
        <f>MAX($F$1:G1)+1</f>
        <v>66</v>
      </c>
      <c r="I1" s="5">
        <f>MAX($F$1:H1)+1</f>
        <v>67</v>
      </c>
      <c r="K1" s="5">
        <f>MAX($F$1:J1)+1</f>
        <v>68</v>
      </c>
      <c r="L1" s="5">
        <f>MAX($F$1:K1)+1</f>
        <v>69</v>
      </c>
      <c r="M1" s="5">
        <f>MAX($F$1:L1)+1</f>
        <v>70</v>
      </c>
      <c r="N1" s="5">
        <f>MAX($F$1:M1)+1</f>
        <v>71</v>
      </c>
      <c r="O1" s="5">
        <f>MAX($F$1:N1)+1</f>
        <v>72</v>
      </c>
    </row>
    <row r="2" spans="1:27" ht="15" customHeight="1" x14ac:dyDescent="0.35">
      <c r="A2" s="26"/>
      <c r="B2" s="26"/>
      <c r="C2" s="26"/>
      <c r="D2" s="26"/>
      <c r="E2" s="26"/>
      <c r="F2" s="92"/>
    </row>
    <row r="3" spans="1:27" ht="15" customHeight="1" x14ac:dyDescent="0.35">
      <c r="A3" s="87"/>
      <c r="B3" s="87"/>
      <c r="C3" s="87"/>
      <c r="D3" s="88" t="str">
        <f>LEFT($D4, FIND(":",$D4)-1)</f>
        <v>Table C6</v>
      </c>
      <c r="E3" s="88"/>
      <c r="F3" s="320"/>
      <c r="P3" s="203"/>
      <c r="Q3" s="203"/>
      <c r="R3" s="203"/>
      <c r="S3" s="203"/>
      <c r="T3" s="203"/>
      <c r="U3" s="52"/>
      <c r="V3" s="203"/>
      <c r="W3" s="203"/>
      <c r="X3" s="203"/>
      <c r="Y3" s="203"/>
      <c r="Z3" s="203"/>
      <c r="AA3" s="203"/>
    </row>
    <row r="4" spans="1:27" ht="15" customHeight="1" x14ac:dyDescent="0.35">
      <c r="A4" s="87"/>
      <c r="B4" s="87"/>
      <c r="C4" s="87"/>
      <c r="D4" s="86" t="str">
        <f>ToC!$J$45</f>
        <v>Table C6: Property Tax Rates</v>
      </c>
      <c r="E4" s="86"/>
      <c r="F4" s="321"/>
      <c r="P4" s="203"/>
      <c r="Q4" s="203"/>
      <c r="R4" s="203"/>
      <c r="S4" s="203"/>
      <c r="T4" s="203"/>
      <c r="U4" s="52"/>
      <c r="V4" s="203"/>
      <c r="W4" s="203"/>
      <c r="X4" s="203"/>
      <c r="Y4" s="203"/>
      <c r="Z4" s="203"/>
      <c r="AA4" s="203"/>
    </row>
    <row r="5" spans="1:27" ht="6" customHeight="1" thickBot="1" x14ac:dyDescent="0.4">
      <c r="D5" s="20"/>
      <c r="E5" s="20"/>
      <c r="F5" s="24"/>
      <c r="G5" s="20"/>
      <c r="H5" s="20"/>
      <c r="I5" s="20"/>
      <c r="J5" s="20"/>
      <c r="K5" s="20"/>
      <c r="L5" s="20"/>
      <c r="M5" s="20"/>
      <c r="N5" s="20"/>
      <c r="O5" s="20"/>
      <c r="P5" s="203"/>
      <c r="Q5" s="203"/>
      <c r="R5" s="203"/>
      <c r="S5" s="203"/>
      <c r="T5" s="203"/>
      <c r="U5" s="52"/>
      <c r="V5" s="203"/>
      <c r="W5" s="203"/>
      <c r="X5" s="203"/>
      <c r="Y5" s="203"/>
      <c r="Z5" s="203"/>
      <c r="AA5" s="203"/>
    </row>
    <row r="6" spans="1:27" ht="6" customHeight="1" thickTop="1" x14ac:dyDescent="0.35">
      <c r="P6" s="203"/>
      <c r="Q6" s="203"/>
      <c r="R6" s="203"/>
      <c r="S6" s="203"/>
      <c r="T6" s="203"/>
      <c r="U6" s="52"/>
      <c r="V6" s="203"/>
      <c r="W6" s="203"/>
      <c r="X6" s="203"/>
      <c r="Y6" s="203"/>
      <c r="Z6" s="203"/>
      <c r="AA6" s="203"/>
    </row>
    <row r="7" spans="1:27" ht="15" customHeight="1" x14ac:dyDescent="0.35">
      <c r="F7" s="322"/>
      <c r="G7" s="2210" t="s">
        <v>306</v>
      </c>
      <c r="H7" s="2210"/>
      <c r="I7" s="2210"/>
      <c r="K7" s="2210" t="s">
        <v>307</v>
      </c>
      <c r="L7" s="2210"/>
      <c r="M7" s="2210"/>
      <c r="N7" s="2210"/>
      <c r="O7" s="2210"/>
      <c r="P7" s="203"/>
      <c r="Q7" s="203"/>
      <c r="R7" s="203"/>
      <c r="S7" s="203"/>
      <c r="T7" s="203"/>
      <c r="U7" s="52"/>
      <c r="V7" s="203"/>
      <c r="W7" s="203"/>
      <c r="X7" s="203"/>
      <c r="Y7" s="203"/>
      <c r="Z7" s="203"/>
      <c r="AA7" s="203"/>
    </row>
    <row r="8" spans="1:27" ht="30" customHeight="1" x14ac:dyDescent="0.35">
      <c r="D8" s="309" t="s">
        <v>327</v>
      </c>
      <c r="E8" s="309"/>
      <c r="G8" s="397" t="s">
        <v>308</v>
      </c>
      <c r="H8" s="397" t="s">
        <v>309</v>
      </c>
      <c r="I8" s="397" t="s">
        <v>310</v>
      </c>
      <c r="J8" s="397"/>
      <c r="K8" s="397" t="s">
        <v>308</v>
      </c>
      <c r="L8" s="397" t="s">
        <v>309</v>
      </c>
      <c r="M8" s="397" t="s">
        <v>310</v>
      </c>
      <c r="N8" s="397" t="s">
        <v>334</v>
      </c>
      <c r="O8" s="397" t="s">
        <v>329</v>
      </c>
      <c r="P8" s="203"/>
      <c r="Q8" s="203"/>
      <c r="R8" s="203"/>
      <c r="S8" s="203"/>
      <c r="T8" s="203"/>
      <c r="U8" s="52"/>
      <c r="V8" s="203"/>
      <c r="W8" s="203"/>
      <c r="X8" s="203"/>
      <c r="Y8" s="203"/>
      <c r="Z8" s="203"/>
      <c r="AA8" s="203"/>
    </row>
    <row r="9" spans="1:27" ht="15" customHeight="1" x14ac:dyDescent="0.35">
      <c r="D9" s="27"/>
      <c r="G9" s="194" t="str">
        <f>"["&amp;CHAR(G1)&amp;"]"</f>
        <v>[A]</v>
      </c>
      <c r="H9" s="194" t="str">
        <f t="shared" ref="H9:M9" si="0">"["&amp;CHAR(H1)&amp;"]"</f>
        <v>[B]</v>
      </c>
      <c r="I9" s="194" t="str">
        <f t="shared" si="0"/>
        <v>[C]</v>
      </c>
      <c r="J9" s="194"/>
      <c r="K9" s="194" t="str">
        <f t="shared" si="0"/>
        <v>[D]</v>
      </c>
      <c r="L9" s="194" t="str">
        <f t="shared" si="0"/>
        <v>[E]</v>
      </c>
      <c r="M9" s="194" t="str">
        <f t="shared" si="0"/>
        <v>[F]</v>
      </c>
      <c r="N9" s="194" t="str">
        <f>"["&amp;CHAR(N1)&amp;"]"</f>
        <v>[G]</v>
      </c>
      <c r="O9" s="194" t="str">
        <f>"["&amp;CHAR(O1)&amp;"]"</f>
        <v>[H]</v>
      </c>
      <c r="P9" s="203"/>
      <c r="Q9" s="203"/>
      <c r="R9" s="203"/>
      <c r="S9" s="203"/>
      <c r="T9" s="203"/>
      <c r="U9" s="52"/>
      <c r="V9" s="203"/>
      <c r="W9" s="203"/>
      <c r="X9" s="203"/>
      <c r="Y9" s="203"/>
      <c r="Z9" s="203"/>
      <c r="AA9" s="203"/>
    </row>
    <row r="10" spans="1:27" ht="15" customHeight="1" x14ac:dyDescent="0.35">
      <c r="D10" s="329" t="s">
        <v>207</v>
      </c>
      <c r="G10" s="12" t="s">
        <v>10</v>
      </c>
      <c r="H10" s="12" t="s">
        <v>10</v>
      </c>
      <c r="I10" s="12" t="s">
        <v>10</v>
      </c>
      <c r="J10" s="12"/>
      <c r="K10" s="12" t="s">
        <v>10</v>
      </c>
      <c r="L10" s="12" t="s">
        <v>10</v>
      </c>
      <c r="M10" s="12" t="s">
        <v>10</v>
      </c>
      <c r="N10" s="12" t="s">
        <v>577</v>
      </c>
      <c r="O10" s="12" t="s">
        <v>10</v>
      </c>
      <c r="P10" s="203"/>
      <c r="Q10" s="203"/>
      <c r="R10" s="203"/>
      <c r="S10" s="203"/>
      <c r="T10" s="203"/>
      <c r="U10" s="52"/>
      <c r="V10" s="203"/>
      <c r="W10" s="203"/>
      <c r="X10" s="203"/>
      <c r="Y10" s="203"/>
      <c r="Z10" s="203"/>
      <c r="AA10" s="203"/>
    </row>
    <row r="11" spans="1:27" ht="6" customHeight="1" x14ac:dyDescent="0.35">
      <c r="D11" s="316"/>
      <c r="E11" s="316"/>
      <c r="F11" s="317"/>
      <c r="G11" s="317"/>
      <c r="H11" s="317"/>
      <c r="I11" s="317"/>
      <c r="J11" s="316"/>
      <c r="K11" s="316"/>
      <c r="L11" s="316"/>
      <c r="M11" s="316"/>
      <c r="N11" s="316"/>
      <c r="O11" s="316"/>
      <c r="P11" s="203"/>
      <c r="Q11" s="203"/>
      <c r="R11" s="203"/>
      <c r="S11" s="203"/>
      <c r="T11" s="203"/>
      <c r="U11" s="52"/>
      <c r="V11" s="203"/>
      <c r="W11" s="203"/>
      <c r="X11" s="203"/>
      <c r="Y11" s="203"/>
      <c r="Z11" s="203"/>
      <c r="AA11" s="203"/>
    </row>
    <row r="12" spans="1:27" ht="6" customHeight="1" x14ac:dyDescent="0.35">
      <c r="D12" s="318"/>
      <c r="E12" s="318"/>
      <c r="F12" s="319"/>
      <c r="G12" s="319"/>
      <c r="H12" s="319"/>
      <c r="I12" s="319"/>
      <c r="J12" s="318"/>
      <c r="K12" s="318"/>
      <c r="L12" s="318"/>
      <c r="M12" s="318"/>
      <c r="N12" s="318"/>
      <c r="O12" s="318"/>
      <c r="P12" s="203"/>
      <c r="Q12" s="203"/>
      <c r="R12" s="203"/>
      <c r="S12" s="203"/>
      <c r="T12" s="203"/>
      <c r="U12" s="52"/>
      <c r="V12" s="203"/>
      <c r="W12" s="203"/>
      <c r="X12" s="203"/>
      <c r="Y12" s="203"/>
      <c r="Z12" s="203"/>
      <c r="AA12" s="203"/>
    </row>
    <row r="13" spans="1:27" ht="15" customHeight="1" x14ac:dyDescent="0.35">
      <c r="D13" s="309">
        <v>1</v>
      </c>
      <c r="E13" s="309" t="s">
        <v>288</v>
      </c>
      <c r="P13" s="203"/>
      <c r="Q13" s="203"/>
      <c r="R13" s="203"/>
      <c r="S13" s="203"/>
      <c r="T13" s="203"/>
      <c r="U13" s="52"/>
      <c r="V13" s="203"/>
      <c r="W13" s="203"/>
      <c r="X13" s="203"/>
      <c r="Y13" s="203"/>
      <c r="Z13" s="203"/>
      <c r="AA13" s="203"/>
    </row>
    <row r="14" spans="1:27" ht="15" customHeight="1" x14ac:dyDescent="0.35">
      <c r="A14" s="5">
        <v>1</v>
      </c>
      <c r="E14" s="314" t="s">
        <v>311</v>
      </c>
      <c r="F14" s="17" t="str">
        <f>"["&amp;A14&amp;"]"</f>
        <v>[1]</v>
      </c>
      <c r="G14" s="345">
        <f>AVERAGE(G15:G16)</f>
        <v>3.989527777777778E-2</v>
      </c>
      <c r="H14" s="345">
        <f>AVERAGE(H15:H16)</f>
        <v>0.7539013888888888</v>
      </c>
      <c r="I14" s="345">
        <f>G14*H14</f>
        <v>3.007710532677469E-2</v>
      </c>
      <c r="J14" s="345"/>
      <c r="K14" s="344" t="s">
        <v>326</v>
      </c>
      <c r="L14" s="344" t="s">
        <v>326</v>
      </c>
      <c r="M14" s="344" t="s">
        <v>326</v>
      </c>
      <c r="N14" s="344" t="s">
        <v>326</v>
      </c>
      <c r="O14" s="344" t="s">
        <v>326</v>
      </c>
      <c r="P14" s="203"/>
      <c r="Q14" s="203"/>
      <c r="R14" s="203"/>
      <c r="S14" s="203"/>
      <c r="T14" s="203"/>
      <c r="U14" s="200" t="s">
        <v>288</v>
      </c>
      <c r="V14" s="203"/>
      <c r="W14" s="203"/>
      <c r="X14" s="203"/>
      <c r="Y14" s="203"/>
      <c r="Z14" s="203"/>
      <c r="AA14" s="203"/>
    </row>
    <row r="15" spans="1:27" ht="15" customHeight="1" x14ac:dyDescent="0.35">
      <c r="A15" s="5">
        <f>MAX($A$7:A14)+1</f>
        <v>2</v>
      </c>
      <c r="E15" s="315" t="s">
        <v>312</v>
      </c>
      <c r="F15" s="17" t="str">
        <f>"["&amp;A15&amp;"]"</f>
        <v>[2]</v>
      </c>
      <c r="G15" s="345">
        <v>3.4700833333333334E-2</v>
      </c>
      <c r="H15" s="345">
        <v>0.76197499999999996</v>
      </c>
      <c r="I15" s="345">
        <f>G15*H15</f>
        <v>2.6441167479166666E-2</v>
      </c>
      <c r="J15" s="345"/>
      <c r="K15" s="344" t="s">
        <v>326</v>
      </c>
      <c r="L15" s="344" t="s">
        <v>326</v>
      </c>
      <c r="M15" s="344" t="s">
        <v>326</v>
      </c>
      <c r="N15" s="344" t="s">
        <v>326</v>
      </c>
      <c r="O15" s="344" t="s">
        <v>326</v>
      </c>
      <c r="P15" s="203"/>
      <c r="Q15" s="203"/>
      <c r="R15" s="203"/>
      <c r="S15" s="203"/>
      <c r="T15" s="203"/>
      <c r="U15" s="52"/>
      <c r="V15" s="203"/>
      <c r="W15" s="203"/>
      <c r="X15" s="203"/>
      <c r="Y15" s="203"/>
      <c r="Z15" s="203"/>
      <c r="AA15" s="203"/>
    </row>
    <row r="16" spans="1:27" ht="15" customHeight="1" x14ac:dyDescent="0.35">
      <c r="A16" s="5">
        <f>MAX($A$7:A15)+1</f>
        <v>3</v>
      </c>
      <c r="E16" s="315" t="s">
        <v>313</v>
      </c>
      <c r="F16" s="17" t="str">
        <f>"["&amp;A16&amp;"]"</f>
        <v>[3]</v>
      </c>
      <c r="G16" s="345">
        <v>4.5089722222222225E-2</v>
      </c>
      <c r="H16" s="345">
        <v>0.74582777777777776</v>
      </c>
      <c r="I16" s="345">
        <f>G16*H16</f>
        <v>3.3629167325617285E-2</v>
      </c>
      <c r="J16" s="345"/>
      <c r="K16" s="344" t="s">
        <v>326</v>
      </c>
      <c r="L16" s="344" t="s">
        <v>326</v>
      </c>
      <c r="M16" s="344" t="s">
        <v>326</v>
      </c>
      <c r="N16" s="344" t="s">
        <v>326</v>
      </c>
      <c r="O16" s="344" t="s">
        <v>326</v>
      </c>
      <c r="P16" s="203"/>
      <c r="Q16" s="203"/>
      <c r="R16" s="203"/>
      <c r="S16" s="203"/>
      <c r="T16" s="203"/>
      <c r="U16" s="52"/>
      <c r="V16" s="203"/>
      <c r="W16" s="203"/>
      <c r="X16" s="203"/>
      <c r="Y16" s="203"/>
      <c r="Z16" s="203"/>
      <c r="AA16" s="203"/>
    </row>
    <row r="17" spans="1:27" ht="6" customHeight="1" x14ac:dyDescent="0.35">
      <c r="G17" s="345"/>
      <c r="H17" s="345"/>
      <c r="I17" s="345"/>
      <c r="J17" s="345"/>
      <c r="K17" s="345"/>
      <c r="L17" s="345"/>
      <c r="M17" s="345"/>
      <c r="N17" s="26"/>
      <c r="O17" s="26"/>
      <c r="P17" s="203"/>
      <c r="Q17" s="203"/>
      <c r="R17" s="203"/>
      <c r="S17" s="203"/>
      <c r="T17" s="203"/>
      <c r="U17" s="52"/>
      <c r="V17" s="203"/>
      <c r="W17" s="203"/>
      <c r="X17" s="203"/>
      <c r="Y17" s="203"/>
      <c r="Z17" s="203"/>
      <c r="AA17" s="203"/>
    </row>
    <row r="18" spans="1:27" ht="15" customHeight="1" x14ac:dyDescent="0.35">
      <c r="D18" s="309">
        <v>2</v>
      </c>
      <c r="E18" s="309" t="s">
        <v>289</v>
      </c>
      <c r="G18" s="345"/>
      <c r="H18" s="345"/>
      <c r="I18" s="345"/>
      <c r="J18" s="345"/>
      <c r="K18" s="345"/>
      <c r="L18" s="345"/>
      <c r="M18" s="345"/>
      <c r="N18" s="26"/>
      <c r="O18" s="26"/>
      <c r="P18" s="203"/>
      <c r="Q18" s="203"/>
      <c r="R18" s="203"/>
      <c r="S18" s="203"/>
      <c r="T18" s="203"/>
      <c r="U18" s="52"/>
      <c r="V18" s="203"/>
      <c r="W18" s="203"/>
      <c r="X18" s="203"/>
      <c r="Y18" s="203"/>
      <c r="Z18" s="203"/>
      <c r="AA18" s="203"/>
    </row>
    <row r="19" spans="1:27" ht="15" customHeight="1" x14ac:dyDescent="0.35">
      <c r="A19" s="5">
        <f>MAX($A$7:A18)+1</f>
        <v>4</v>
      </c>
      <c r="E19" s="314" t="s">
        <v>314</v>
      </c>
      <c r="F19" s="17" t="str">
        <f>"["&amp;A19&amp;"]"</f>
        <v>[4]</v>
      </c>
      <c r="G19" s="345">
        <f>AVERAGE(G20:G21)</f>
        <v>1.1825000000000002E-2</v>
      </c>
      <c r="H19" s="345">
        <f>AVERAGE(H20:H21)</f>
        <v>1</v>
      </c>
      <c r="I19" s="345">
        <f>G19*H19</f>
        <v>1.1825000000000002E-2</v>
      </c>
      <c r="J19" s="345"/>
      <c r="K19" s="345">
        <f>AVERAGE(K20:K21)</f>
        <v>2.6762500000000002E-2</v>
      </c>
      <c r="L19" s="345">
        <f>AVERAGE(L20:L21)</f>
        <v>0.5</v>
      </c>
      <c r="M19" s="345">
        <f>K19*L19</f>
        <v>1.3381250000000001E-2</v>
      </c>
      <c r="N19" s="1085">
        <v>3.3000000000000002E-2</v>
      </c>
      <c r="O19" s="1085">
        <v>0.25</v>
      </c>
      <c r="P19" s="203"/>
      <c r="Q19" s="203"/>
      <c r="R19" s="203"/>
      <c r="S19" s="203"/>
      <c r="T19" s="203"/>
      <c r="U19" s="52" t="s">
        <v>289</v>
      </c>
      <c r="V19" s="203"/>
      <c r="W19" s="203"/>
      <c r="X19" s="203"/>
      <c r="Y19" s="203"/>
      <c r="Z19" s="203"/>
      <c r="AA19" s="203"/>
    </row>
    <row r="20" spans="1:27" ht="15" customHeight="1" x14ac:dyDescent="0.35">
      <c r="A20" s="5">
        <f>MAX($A$7:A19)+1</f>
        <v>5</v>
      </c>
      <c r="E20" s="315" t="s">
        <v>315</v>
      </c>
      <c r="F20" s="17" t="str">
        <f>"["&amp;A20&amp;"]"</f>
        <v>[5]</v>
      </c>
      <c r="G20" s="345">
        <v>1.2530000000000001E-2</v>
      </c>
      <c r="H20" s="345">
        <v>1</v>
      </c>
      <c r="I20" s="345">
        <f>G20*H20</f>
        <v>1.2530000000000001E-2</v>
      </c>
      <c r="J20" s="345"/>
      <c r="K20" s="345">
        <v>2.8525000000000002E-2</v>
      </c>
      <c r="L20" s="345">
        <v>0.5</v>
      </c>
      <c r="M20" s="345">
        <f>K20*L20</f>
        <v>1.4262500000000001E-2</v>
      </c>
      <c r="N20" s="26"/>
      <c r="O20" s="26"/>
      <c r="P20" s="203"/>
      <c r="Q20" s="203"/>
      <c r="R20" s="203"/>
      <c r="S20" s="203"/>
      <c r="T20" s="203"/>
      <c r="U20" s="52"/>
      <c r="V20" s="203"/>
      <c r="W20" s="203"/>
      <c r="X20" s="203"/>
      <c r="Y20" s="203"/>
      <c r="Z20" s="203"/>
      <c r="AA20" s="203"/>
    </row>
    <row r="21" spans="1:27" ht="15" customHeight="1" x14ac:dyDescent="0.35">
      <c r="A21" s="5">
        <f>MAX($A$7:A20)+1</f>
        <v>6</v>
      </c>
      <c r="E21" s="315" t="s">
        <v>316</v>
      </c>
      <c r="F21" s="17" t="str">
        <f>"["&amp;A21&amp;"]"</f>
        <v>[6]</v>
      </c>
      <c r="G21" s="345">
        <v>1.1120000000000001E-2</v>
      </c>
      <c r="H21" s="345">
        <v>1</v>
      </c>
      <c r="I21" s="345">
        <f>G21*H21</f>
        <v>1.1120000000000001E-2</v>
      </c>
      <c r="J21" s="345"/>
      <c r="K21" s="345">
        <v>2.5000000000000001E-2</v>
      </c>
      <c r="L21" s="345">
        <v>0.5</v>
      </c>
      <c r="M21" s="345">
        <f>K21*L21</f>
        <v>1.2500000000000001E-2</v>
      </c>
      <c r="N21" s="26"/>
      <c r="O21" s="26"/>
      <c r="P21" s="203"/>
      <c r="Q21" s="203"/>
      <c r="R21" s="203"/>
      <c r="S21" s="203"/>
      <c r="T21" s="203"/>
      <c r="U21" s="52"/>
      <c r="V21" s="203"/>
      <c r="W21" s="203"/>
      <c r="X21" s="203"/>
      <c r="Y21" s="203"/>
      <c r="Z21" s="203"/>
      <c r="AA21" s="203"/>
    </row>
    <row r="22" spans="1:27" ht="6" customHeight="1" x14ac:dyDescent="0.35">
      <c r="G22" s="345"/>
      <c r="H22" s="345"/>
      <c r="I22" s="345"/>
      <c r="J22" s="345"/>
      <c r="K22" s="345"/>
      <c r="L22" s="345"/>
      <c r="M22" s="345"/>
      <c r="N22" s="26"/>
      <c r="O22" s="26"/>
      <c r="P22" s="203"/>
      <c r="Q22" s="203"/>
      <c r="R22" s="203"/>
      <c r="S22" s="203"/>
      <c r="T22" s="203"/>
      <c r="U22" s="52"/>
      <c r="V22" s="203"/>
      <c r="W22" s="203"/>
      <c r="X22" s="203"/>
      <c r="Y22" s="203"/>
      <c r="Z22" s="203"/>
      <c r="AA22" s="203"/>
    </row>
    <row r="23" spans="1:27" ht="15" customHeight="1" x14ac:dyDescent="0.35">
      <c r="D23" s="309">
        <v>3</v>
      </c>
      <c r="E23" s="309" t="s">
        <v>290</v>
      </c>
      <c r="G23" s="345"/>
      <c r="H23" s="345"/>
      <c r="I23" s="345"/>
      <c r="J23" s="345"/>
      <c r="K23" s="345"/>
      <c r="L23" s="345"/>
      <c r="M23" s="345"/>
      <c r="N23" s="26"/>
      <c r="O23" s="26"/>
      <c r="P23" s="203"/>
      <c r="Q23" s="203"/>
      <c r="R23" s="203"/>
      <c r="S23" s="203"/>
      <c r="T23" s="203"/>
      <c r="U23" s="52"/>
      <c r="V23" s="203"/>
      <c r="W23" s="203"/>
      <c r="X23" s="203"/>
      <c r="Y23" s="203"/>
      <c r="Z23" s="203"/>
      <c r="AA23" s="203"/>
    </row>
    <row r="24" spans="1:27" ht="15" customHeight="1" x14ac:dyDescent="0.35">
      <c r="A24" s="5">
        <f>MAX($A$7:A23)+1</f>
        <v>7</v>
      </c>
      <c r="E24" s="314" t="s">
        <v>317</v>
      </c>
      <c r="F24" s="17" t="str">
        <f>"["&amp;A24&amp;"]"</f>
        <v>[7]</v>
      </c>
      <c r="G24" s="345">
        <f>AVERAGE(G25:G26)</f>
        <v>5.1540759575597339E-2</v>
      </c>
      <c r="H24" s="345">
        <f>AVERAGE(H25:H26)</f>
        <v>0.35</v>
      </c>
      <c r="I24" s="345">
        <f>G24*H24</f>
        <v>1.8039265851459069E-2</v>
      </c>
      <c r="J24" s="345"/>
      <c r="K24" s="345">
        <f>AVERAGE(K25:K26)</f>
        <v>5.1540759575597339E-2</v>
      </c>
      <c r="L24" s="344">
        <v>0.24</v>
      </c>
      <c r="M24" s="344">
        <f>K24*L24</f>
        <v>1.2369782298143362E-2</v>
      </c>
      <c r="N24" s="343" t="s">
        <v>39</v>
      </c>
      <c r="O24" s="188" t="s">
        <v>326</v>
      </c>
      <c r="P24" s="203"/>
      <c r="Q24" s="203"/>
      <c r="R24" s="203"/>
      <c r="S24" s="203"/>
      <c r="T24" s="203"/>
      <c r="U24" s="52" t="s">
        <v>339</v>
      </c>
      <c r="V24" s="203"/>
      <c r="W24" s="203"/>
      <c r="X24" s="203"/>
      <c r="Y24" s="203"/>
      <c r="Z24" s="203"/>
      <c r="AA24" s="203"/>
    </row>
    <row r="25" spans="1:27" ht="15" customHeight="1" x14ac:dyDescent="0.35">
      <c r="A25" s="5">
        <f>MAX($A$7:A24)+1</f>
        <v>8</v>
      </c>
      <c r="E25" s="315" t="s">
        <v>318</v>
      </c>
      <c r="F25" s="17" t="str">
        <f>"["&amp;A25&amp;"]"</f>
        <v>[8]</v>
      </c>
      <c r="G25" s="345">
        <v>5.793810863768116E-2</v>
      </c>
      <c r="H25" s="345">
        <v>0.35</v>
      </c>
      <c r="I25" s="345">
        <f>G25*H25</f>
        <v>2.0278338023188406E-2</v>
      </c>
      <c r="J25" s="345"/>
      <c r="K25" s="345">
        <f>G25</f>
        <v>5.793810863768116E-2</v>
      </c>
      <c r="L25" s="344">
        <v>0.24</v>
      </c>
      <c r="M25" s="344">
        <f>K25*L25</f>
        <v>1.3905146073043478E-2</v>
      </c>
      <c r="N25" s="1330"/>
      <c r="O25" s="1330"/>
      <c r="P25" s="203"/>
      <c r="Q25" s="203"/>
      <c r="R25" s="203"/>
      <c r="S25" s="203"/>
      <c r="T25" s="203"/>
      <c r="U25" s="52"/>
      <c r="V25" s="203"/>
      <c r="W25" s="203"/>
      <c r="X25" s="203"/>
      <c r="Y25" s="203"/>
      <c r="Z25" s="203"/>
      <c r="AA25" s="203"/>
    </row>
    <row r="26" spans="1:27" ht="15" customHeight="1" x14ac:dyDescent="0.35">
      <c r="A26" s="5">
        <f>MAX($A$7:A25)+1</f>
        <v>9</v>
      </c>
      <c r="E26" s="315" t="s">
        <v>319</v>
      </c>
      <c r="F26" s="17" t="str">
        <f>"["&amp;A26&amp;"]"</f>
        <v>[9]</v>
      </c>
      <c r="G26" s="345">
        <v>4.5143410513513525E-2</v>
      </c>
      <c r="H26" s="345">
        <v>0.35</v>
      </c>
      <c r="I26" s="345">
        <f>G26*H26</f>
        <v>1.5800193679729731E-2</v>
      </c>
      <c r="J26" s="345"/>
      <c r="K26" s="345">
        <f>G26</f>
        <v>4.5143410513513525E-2</v>
      </c>
      <c r="L26" s="344">
        <v>0.24</v>
      </c>
      <c r="M26" s="344">
        <f>K26*L26</f>
        <v>1.0834418523243246E-2</v>
      </c>
      <c r="N26" s="1330"/>
      <c r="O26" s="1330"/>
      <c r="P26" s="203"/>
      <c r="Q26" s="203"/>
      <c r="R26" s="203"/>
      <c r="S26" s="203"/>
      <c r="T26" s="203"/>
      <c r="U26" s="52"/>
      <c r="V26" s="203"/>
      <c r="W26" s="203"/>
      <c r="X26" s="203"/>
      <c r="Y26" s="203"/>
      <c r="Z26" s="203"/>
      <c r="AA26" s="203"/>
    </row>
    <row r="27" spans="1:27" ht="15" customHeight="1" x14ac:dyDescent="0.35">
      <c r="A27" s="5">
        <f>MAX($A$7:A26)+1</f>
        <v>10</v>
      </c>
      <c r="E27" s="314" t="s">
        <v>321</v>
      </c>
      <c r="F27" s="17" t="str">
        <f>"["&amp;A27&amp;"]"</f>
        <v>[10]</v>
      </c>
      <c r="G27" s="345">
        <f>G28</f>
        <v>2.8243664285714287E-2</v>
      </c>
      <c r="H27" s="345">
        <f>H28</f>
        <v>1</v>
      </c>
      <c r="I27" s="345">
        <f>G27*H27</f>
        <v>2.8243664285714287E-2</v>
      </c>
      <c r="J27" s="345"/>
      <c r="K27" s="344" t="s">
        <v>326</v>
      </c>
      <c r="L27" s="344" t="s">
        <v>326</v>
      </c>
      <c r="M27" s="344" t="s">
        <v>326</v>
      </c>
      <c r="N27" s="344" t="s">
        <v>326</v>
      </c>
      <c r="O27" s="344" t="s">
        <v>326</v>
      </c>
      <c r="P27" s="203"/>
      <c r="Q27" s="203"/>
      <c r="R27" s="203"/>
      <c r="S27" s="203"/>
      <c r="T27" s="203"/>
      <c r="U27" s="52" t="s">
        <v>340</v>
      </c>
      <c r="V27" s="203"/>
      <c r="W27" s="203"/>
      <c r="X27" s="203"/>
      <c r="Y27" s="203"/>
      <c r="Z27" s="203"/>
      <c r="AA27" s="203"/>
    </row>
    <row r="28" spans="1:27" ht="15" customHeight="1" x14ac:dyDescent="0.35">
      <c r="A28" s="5">
        <f>MAX($A$7:A27)+1</f>
        <v>11</v>
      </c>
      <c r="E28" s="315" t="s">
        <v>320</v>
      </c>
      <c r="F28" s="17" t="str">
        <f>"["&amp;A28&amp;"]"</f>
        <v>[11]</v>
      </c>
      <c r="G28" s="345">
        <v>2.8243664285714287E-2</v>
      </c>
      <c r="H28" s="345">
        <v>1</v>
      </c>
      <c r="I28" s="345">
        <f>G28*H28</f>
        <v>2.8243664285714287E-2</v>
      </c>
      <c r="J28" s="345"/>
      <c r="K28" s="344" t="s">
        <v>326</v>
      </c>
      <c r="L28" s="344" t="s">
        <v>326</v>
      </c>
      <c r="M28" s="344" t="s">
        <v>326</v>
      </c>
      <c r="N28" s="344" t="s">
        <v>326</v>
      </c>
      <c r="O28" s="344" t="s">
        <v>326</v>
      </c>
      <c r="P28" s="203"/>
      <c r="Q28" s="203"/>
      <c r="R28" s="203"/>
      <c r="S28" s="203"/>
      <c r="T28" s="203"/>
      <c r="U28" s="52"/>
      <c r="V28" s="203"/>
      <c r="W28" s="203"/>
      <c r="X28" s="203"/>
      <c r="Y28" s="203"/>
      <c r="Z28" s="203"/>
      <c r="AA28" s="203"/>
    </row>
    <row r="29" spans="1:27" ht="6" customHeight="1" x14ac:dyDescent="0.35">
      <c r="E29" s="315"/>
      <c r="G29" s="345"/>
      <c r="H29" s="345"/>
      <c r="I29" s="345"/>
      <c r="J29" s="345"/>
      <c r="K29" s="345"/>
      <c r="L29" s="345"/>
      <c r="M29" s="345"/>
      <c r="N29" s="26"/>
      <c r="O29" s="26"/>
      <c r="P29" s="203"/>
      <c r="Q29" s="203"/>
      <c r="R29" s="203"/>
      <c r="S29" s="203"/>
      <c r="T29" s="203"/>
      <c r="U29" s="52"/>
      <c r="V29" s="203"/>
      <c r="W29" s="203"/>
      <c r="X29" s="203"/>
      <c r="Y29" s="203"/>
      <c r="Z29" s="203"/>
      <c r="AA29" s="203"/>
    </row>
    <row r="30" spans="1:27" ht="15" customHeight="1" x14ac:dyDescent="0.35">
      <c r="D30" s="309">
        <v>4</v>
      </c>
      <c r="E30" s="309" t="s">
        <v>291</v>
      </c>
      <c r="G30" s="345"/>
      <c r="H30" s="345"/>
      <c r="I30" s="345"/>
      <c r="J30" s="345"/>
      <c r="K30" s="345"/>
      <c r="L30" s="345"/>
      <c r="M30" s="345"/>
      <c r="N30" s="26"/>
      <c r="O30" s="26"/>
      <c r="P30" s="203"/>
      <c r="Q30" s="203"/>
      <c r="R30" s="203"/>
      <c r="S30" s="203"/>
      <c r="T30" s="203"/>
      <c r="V30" s="203"/>
      <c r="W30" s="203"/>
      <c r="X30" s="203"/>
      <c r="Y30" s="203"/>
      <c r="Z30" s="203"/>
      <c r="AA30" s="203"/>
    </row>
    <row r="31" spans="1:27" ht="15" customHeight="1" x14ac:dyDescent="0.35">
      <c r="A31" s="5">
        <f>MAX($A$7:A30)+1</f>
        <v>12</v>
      </c>
      <c r="E31" s="314" t="s">
        <v>321</v>
      </c>
      <c r="F31" s="17" t="str">
        <f>"["&amp;A31&amp;"]"</f>
        <v>[12]</v>
      </c>
      <c r="G31" s="345">
        <f>AVERAGE(G32:G34)</f>
        <v>3.8266404755656111E-2</v>
      </c>
      <c r="H31" s="345">
        <f>AVERAGE(H32:H34)</f>
        <v>1</v>
      </c>
      <c r="I31" s="345">
        <f>G31*H31</f>
        <v>3.8266404755656111E-2</v>
      </c>
      <c r="J31" s="345"/>
      <c r="K31" s="344" t="s">
        <v>326</v>
      </c>
      <c r="L31" s="344" t="s">
        <v>326</v>
      </c>
      <c r="M31" s="344" t="s">
        <v>326</v>
      </c>
      <c r="N31" s="344" t="s">
        <v>326</v>
      </c>
      <c r="O31" s="344" t="s">
        <v>326</v>
      </c>
      <c r="P31" s="203"/>
      <c r="Q31" s="203"/>
      <c r="R31" s="203"/>
      <c r="S31" s="203"/>
      <c r="T31" s="203"/>
      <c r="U31" s="52" t="s">
        <v>291</v>
      </c>
      <c r="V31" s="203"/>
      <c r="W31" s="203"/>
      <c r="X31" s="203"/>
      <c r="Y31" s="203"/>
      <c r="Z31" s="203"/>
      <c r="AA31" s="203"/>
    </row>
    <row r="32" spans="1:27" ht="15" customHeight="1" x14ac:dyDescent="0.35">
      <c r="A32" s="5">
        <f>MAX($A$7:A31)+1</f>
        <v>13</v>
      </c>
      <c r="E32" s="315" t="s">
        <v>322</v>
      </c>
      <c r="F32" s="17" t="str">
        <f>"["&amp;A32&amp;"]"</f>
        <v>[13]</v>
      </c>
      <c r="G32" s="345">
        <v>2.1071201333333331E-2</v>
      </c>
      <c r="H32" s="345">
        <v>1</v>
      </c>
      <c r="I32" s="345">
        <f>G32*H32</f>
        <v>2.1071201333333331E-2</v>
      </c>
      <c r="J32" s="345"/>
      <c r="K32" s="344" t="s">
        <v>326</v>
      </c>
      <c r="L32" s="344" t="s">
        <v>326</v>
      </c>
      <c r="M32" s="344" t="s">
        <v>326</v>
      </c>
      <c r="N32" s="344" t="s">
        <v>326</v>
      </c>
      <c r="O32" s="344" t="s">
        <v>326</v>
      </c>
      <c r="P32" s="203"/>
      <c r="Q32" s="203"/>
      <c r="R32" s="203"/>
      <c r="S32" s="203"/>
      <c r="T32" s="203"/>
      <c r="U32" s="52"/>
      <c r="V32" s="203"/>
      <c r="W32" s="203"/>
      <c r="X32" s="203"/>
      <c r="Y32" s="203"/>
      <c r="Z32" s="203"/>
      <c r="AA32" s="203"/>
    </row>
    <row r="33" spans="1:21" ht="15" customHeight="1" x14ac:dyDescent="0.35">
      <c r="A33" s="5">
        <f>MAX($A$7:A32)+1</f>
        <v>14</v>
      </c>
      <c r="E33" s="315" t="s">
        <v>323</v>
      </c>
      <c r="F33" s="17" t="str">
        <f>"["&amp;A33&amp;"]"</f>
        <v>[14]</v>
      </c>
      <c r="G33" s="345">
        <v>2.6514840384615379E-2</v>
      </c>
      <c r="H33" s="345">
        <v>1</v>
      </c>
      <c r="I33" s="345">
        <f>G33*H33</f>
        <v>2.6514840384615379E-2</v>
      </c>
      <c r="J33" s="345"/>
      <c r="K33" s="344" t="s">
        <v>326</v>
      </c>
      <c r="L33" s="344" t="s">
        <v>326</v>
      </c>
      <c r="M33" s="344" t="s">
        <v>326</v>
      </c>
      <c r="N33" s="344" t="s">
        <v>326</v>
      </c>
      <c r="O33" s="344" t="s">
        <v>326</v>
      </c>
    </row>
    <row r="34" spans="1:21" ht="15" customHeight="1" x14ac:dyDescent="0.35">
      <c r="A34" s="5">
        <f>MAX($A$7:A33)+1</f>
        <v>15</v>
      </c>
      <c r="E34" s="315" t="s">
        <v>324</v>
      </c>
      <c r="F34" s="17" t="str">
        <f>"["&amp;A34&amp;"]"</f>
        <v>[15]</v>
      </c>
      <c r="G34" s="345">
        <v>6.7213172549019623E-2</v>
      </c>
      <c r="H34" s="345">
        <v>1</v>
      </c>
      <c r="I34" s="345">
        <f>G34*H34</f>
        <v>6.7213172549019623E-2</v>
      </c>
      <c r="J34" s="345"/>
      <c r="K34" s="344" t="s">
        <v>326</v>
      </c>
      <c r="L34" s="344" t="s">
        <v>326</v>
      </c>
      <c r="M34" s="344" t="s">
        <v>326</v>
      </c>
      <c r="N34" s="344" t="s">
        <v>326</v>
      </c>
      <c r="O34" s="344" t="s">
        <v>326</v>
      </c>
    </row>
    <row r="35" spans="1:21" ht="6" customHeight="1" x14ac:dyDescent="0.35">
      <c r="G35" s="345"/>
      <c r="H35" s="345"/>
      <c r="I35" s="345"/>
      <c r="J35" s="345"/>
      <c r="K35" s="345"/>
      <c r="L35" s="345"/>
      <c r="M35" s="345"/>
      <c r="N35" s="26"/>
      <c r="O35" s="26"/>
    </row>
    <row r="36" spans="1:21" ht="15" customHeight="1" x14ac:dyDescent="0.35">
      <c r="D36" s="309">
        <v>5</v>
      </c>
      <c r="E36" s="309" t="s">
        <v>299</v>
      </c>
      <c r="G36" s="345"/>
      <c r="H36" s="345"/>
      <c r="I36" s="345"/>
      <c r="J36" s="345"/>
      <c r="K36" s="345"/>
      <c r="L36" s="345"/>
      <c r="M36" s="345"/>
      <c r="N36" s="26"/>
      <c r="O36" s="26"/>
    </row>
    <row r="37" spans="1:21" ht="15" customHeight="1" x14ac:dyDescent="0.35">
      <c r="A37" s="5">
        <f>MAX($A$7:A36)+1</f>
        <v>16</v>
      </c>
      <c r="E37" s="314" t="s">
        <v>325</v>
      </c>
      <c r="F37" s="17" t="str">
        <f>"["&amp;A37&amp;"]"</f>
        <v>[16]</v>
      </c>
      <c r="G37" s="345">
        <f>G38</f>
        <v>8.4449678461538474E-2</v>
      </c>
      <c r="H37" s="345">
        <f>H38</f>
        <v>0.33333333333333331</v>
      </c>
      <c r="I37" s="345">
        <f>G37*H37</f>
        <v>2.8149892820512824E-2</v>
      </c>
      <c r="J37" s="345"/>
      <c r="K37" s="344" t="s">
        <v>326</v>
      </c>
      <c r="L37" s="344" t="s">
        <v>326</v>
      </c>
      <c r="M37" s="344" t="s">
        <v>326</v>
      </c>
      <c r="N37" s="344" t="s">
        <v>326</v>
      </c>
      <c r="O37" s="344" t="s">
        <v>326</v>
      </c>
      <c r="U37" s="36" t="s">
        <v>299</v>
      </c>
    </row>
    <row r="38" spans="1:21" ht="15" customHeight="1" x14ac:dyDescent="0.35">
      <c r="A38" s="5">
        <f>MAX($A$7:A37)+1</f>
        <v>17</v>
      </c>
      <c r="E38" s="362" t="s">
        <v>342</v>
      </c>
      <c r="F38" s="17" t="str">
        <f>"["&amp;A38&amp;"]"</f>
        <v>[17]</v>
      </c>
      <c r="G38" s="345">
        <v>8.4449678461538474E-2</v>
      </c>
      <c r="H38" s="345">
        <v>0.33333333333333331</v>
      </c>
      <c r="I38" s="345">
        <f>G38*H38</f>
        <v>2.8149892820512824E-2</v>
      </c>
      <c r="J38" s="345"/>
      <c r="K38" s="344" t="s">
        <v>326</v>
      </c>
      <c r="L38" s="344" t="s">
        <v>326</v>
      </c>
      <c r="M38" s="344" t="s">
        <v>326</v>
      </c>
      <c r="N38" s="344" t="s">
        <v>326</v>
      </c>
      <c r="O38" s="344" t="s">
        <v>326</v>
      </c>
    </row>
    <row r="39" spans="1:21" ht="6" customHeight="1" thickBot="1" x14ac:dyDescent="0.4">
      <c r="D39" s="1373"/>
      <c r="E39" s="1373"/>
      <c r="F39" s="2225"/>
      <c r="G39" s="1373"/>
      <c r="H39" s="1373"/>
      <c r="I39" s="1373"/>
      <c r="J39" s="2226"/>
      <c r="K39" s="2226"/>
      <c r="L39" s="1373"/>
      <c r="M39" s="1373"/>
      <c r="N39" s="1373"/>
      <c r="O39" s="1373"/>
    </row>
    <row r="40" spans="1:21" ht="6" customHeight="1" thickTop="1" x14ac:dyDescent="0.35">
      <c r="D40" s="1193"/>
      <c r="E40" s="1193"/>
      <c r="F40" s="1372"/>
      <c r="G40" s="1193"/>
      <c r="H40" s="1193"/>
      <c r="I40" s="1193"/>
      <c r="J40" s="1193"/>
      <c r="K40" s="1193"/>
      <c r="L40" s="1193"/>
      <c r="M40" s="1193"/>
      <c r="N40" s="1193"/>
      <c r="O40" s="1193"/>
    </row>
    <row r="41" spans="1:21" ht="15" customHeight="1" x14ac:dyDescent="0.35">
      <c r="D41" s="1339" t="s">
        <v>50</v>
      </c>
    </row>
    <row r="42" spans="1:21" ht="15" customHeight="1" x14ac:dyDescent="0.35">
      <c r="D42" s="404" t="s">
        <v>679</v>
      </c>
    </row>
    <row r="43" spans="1:21" ht="15" customHeight="1" x14ac:dyDescent="0.35">
      <c r="D43" s="93" t="str">
        <f>F14&amp;", "&amp;F19&amp;", "&amp;F24&amp;", "&amp;F27&amp;", "&amp;F31&amp;", "&amp;F37&amp;": State-level values are calculated as an average of included counties."</f>
        <v>[1], [4], [7], [10], [12], [16]: State-level values are calculated as an average of included counties.</v>
      </c>
      <c r="E43" s="93"/>
      <c r="F43" s="92"/>
      <c r="G43" s="26"/>
      <c r="H43" s="26"/>
      <c r="I43" s="26"/>
      <c r="J43" s="26"/>
      <c r="K43" s="26"/>
      <c r="L43" s="26"/>
      <c r="M43" s="26"/>
      <c r="N43" s="26"/>
      <c r="O43" s="26"/>
    </row>
    <row r="44" spans="1:21" ht="15" customHeight="1" x14ac:dyDescent="0.35">
      <c r="D44" s="93" t="str">
        <f>$I$9&amp;": "&amp;$G$9&amp;" x "&amp;$H$9&amp;"."</f>
        <v>[C]: [A] x [B].</v>
      </c>
      <c r="E44" s="93"/>
      <c r="F44" s="92"/>
      <c r="G44" s="26"/>
      <c r="H44" s="26"/>
      <c r="I44" s="26"/>
      <c r="J44" s="26"/>
      <c r="K44" s="26"/>
      <c r="L44" s="26"/>
      <c r="M44" s="26"/>
      <c r="N44" s="26"/>
      <c r="O44" s="26"/>
    </row>
    <row r="45" spans="1:21" ht="15" customHeight="1" x14ac:dyDescent="0.35">
      <c r="D45" s="93" t="str">
        <f>$M$9&amp;": "&amp;K9&amp;" x "&amp;L9&amp;"."</f>
        <v>[F]: [D] x [E].</v>
      </c>
      <c r="E45" s="93"/>
      <c r="F45" s="92"/>
      <c r="G45" s="26"/>
      <c r="H45" s="26"/>
      <c r="I45" s="26"/>
      <c r="J45" s="26"/>
      <c r="K45" s="26"/>
      <c r="L45" s="26"/>
      <c r="M45" s="26"/>
      <c r="N45" s="26"/>
      <c r="O45" s="26"/>
    </row>
    <row r="46" spans="1:21" ht="15" customHeight="1" x14ac:dyDescent="0.35">
      <c r="D46" s="2209" t="str">
        <f>F14&amp;G9&amp;" to "&amp;F16&amp;H9&amp;": New Jersey rates estimated based on the average effective tax rates in Gloucester and Camden counties. See Gloucester County Board of Taxation &amp; County Assessor’s Office,"&amp;" 'Gloucester County Historical Rates and Ratios', October 11, 2024; Camden County Board of Taxation, '2024 Camden County Tax Rates'."</f>
        <v>[1][A] to [3][B]: New Jersey rates estimated based on the average effective tax rates in Gloucester and Camden counties. See Gloucester County Board of Taxation &amp; County Assessor’s Office, 'Gloucester County Historical Rates and Ratios', October 11, 2024; Camden County Board of Taxation, '2024 Camden County Tax Rates'.</v>
      </c>
      <c r="E46" s="2209"/>
      <c r="F46" s="2209"/>
      <c r="G46" s="2209"/>
      <c r="H46" s="2209"/>
      <c r="I46" s="2209"/>
      <c r="J46" s="2209"/>
      <c r="K46" s="2209"/>
      <c r="L46" s="2209"/>
      <c r="M46" s="2209"/>
      <c r="N46" s="2209"/>
      <c r="O46" s="2209"/>
    </row>
    <row r="47" spans="1:21" ht="15" customHeight="1" x14ac:dyDescent="0.35">
      <c r="D47" s="2209"/>
      <c r="E47" s="2209"/>
      <c r="F47" s="2209"/>
      <c r="G47" s="2209"/>
      <c r="H47" s="2209"/>
      <c r="I47" s="2209"/>
      <c r="J47" s="2209"/>
      <c r="K47" s="2209"/>
      <c r="L47" s="2209"/>
      <c r="M47" s="2209"/>
      <c r="N47" s="2209"/>
      <c r="O47" s="2209"/>
    </row>
    <row r="48" spans="1:21" ht="15" customHeight="1" x14ac:dyDescent="0.35">
      <c r="D48" s="93" t="str">
        <f>F14&amp;K9&amp;" to "&amp;F16&amp;O9&amp;": No personal property tax is assessed on power plants in New Jersey. See New Jersey Legislature, NJ Rev Stat § 54:4-1, last amended 2004."</f>
        <v>[1][D] to [3][H]: No personal property tax is assessed on power plants in New Jersey. See New Jersey Legislature, NJ Rev Stat § 54:4-1, last amended 2004.</v>
      </c>
      <c r="E48" s="93"/>
      <c r="F48" s="92"/>
      <c r="G48" s="26"/>
      <c r="H48" s="26"/>
      <c r="I48" s="26"/>
      <c r="J48" s="26"/>
      <c r="K48" s="26"/>
      <c r="L48" s="26"/>
      <c r="M48" s="26"/>
      <c r="N48" s="26"/>
      <c r="O48" s="26"/>
    </row>
    <row r="49" spans="1:18" ht="15" customHeight="1" x14ac:dyDescent="0.35">
      <c r="D49" s="2209" t="str">
        <f>F19&amp;G9&amp;" to "&amp;F21&amp;I9&amp;": Maryland tax rates estimated based on 2024 average county tax rates in Charles County and Prince George's County. See Maryland Department of Assessments and Taxation, '2024-25 Tax Rates'."</f>
        <v>[4][A] to [6][C]: Maryland tax rates estimated based on 2024 average county tax rates in Charles County and Prince George's County. See Maryland Department of Assessments and Taxation, '2024-25 Tax Rates'.</v>
      </c>
      <c r="E49" s="2209"/>
      <c r="F49" s="2209"/>
      <c r="G49" s="2209"/>
      <c r="H49" s="2209"/>
      <c r="I49" s="2209"/>
      <c r="J49" s="2209"/>
      <c r="K49" s="2209"/>
      <c r="L49" s="2209"/>
      <c r="M49" s="2209"/>
      <c r="N49" s="2209"/>
      <c r="O49" s="2209"/>
    </row>
    <row r="50" spans="1:18" ht="15" customHeight="1" x14ac:dyDescent="0.35">
      <c r="D50" s="2209"/>
      <c r="E50" s="2209"/>
      <c r="F50" s="2209"/>
      <c r="G50" s="2209"/>
      <c r="H50" s="2209"/>
      <c r="I50" s="2209"/>
      <c r="J50" s="2209"/>
      <c r="K50" s="2209"/>
      <c r="L50" s="2209"/>
      <c r="M50" s="2209"/>
      <c r="N50" s="2209"/>
      <c r="O50" s="2209"/>
    </row>
    <row r="51" spans="1:18" ht="15" customHeight="1" x14ac:dyDescent="0.35">
      <c r="D51" s="93" t="str">
        <f>F19&amp;L9&amp;" to "&amp;F21&amp;L9&amp;": Maryland General Assembly, MD Tax-Prop Code § 7-237, 2016."</f>
        <v>[4][E] to [6][E]: Maryland General Assembly, MD Tax-Prop Code § 7-237, 2016.</v>
      </c>
      <c r="E51" s="93"/>
      <c r="F51" s="92"/>
      <c r="G51" s="26"/>
      <c r="H51" s="26"/>
      <c r="I51" s="26"/>
      <c r="J51" s="26"/>
      <c r="K51" s="26"/>
      <c r="L51" s="26"/>
      <c r="M51" s="26"/>
      <c r="N51" s="26"/>
      <c r="O51" s="26"/>
    </row>
    <row r="52" spans="1:18" ht="15" customHeight="1" x14ac:dyDescent="0.35">
      <c r="D52" s="93" t="str">
        <f>F19&amp;N9&amp;" to "&amp;F21&amp;N9&amp;": Maryland Division of State Documents, Maryland Code of Regulations 18.03.01.02 § C2."</f>
        <v>[4][G] to [6][G]: Maryland Division of State Documents, Maryland Code of Regulations 18.03.01.02 § C2.</v>
      </c>
      <c r="E52" s="2064"/>
      <c r="F52" s="2064"/>
      <c r="G52" s="2064"/>
      <c r="H52" s="2064"/>
      <c r="I52" s="2064"/>
      <c r="J52" s="2064"/>
      <c r="K52" s="2064"/>
      <c r="L52" s="2064"/>
      <c r="M52" s="2064"/>
      <c r="N52" s="2064"/>
      <c r="O52" s="2064"/>
    </row>
    <row r="53" spans="1:18" ht="15" customHeight="1" x14ac:dyDescent="0.35">
      <c r="D53" s="215" t="str">
        <f>F19&amp;O9&amp;": Maryland Dept. of Assessments and Taxation, Instructions for Business Entity Annual Report (Form 1), 2024."</f>
        <v>[4][H]: Maryland Dept. of Assessments and Taxation, Instructions for Business Entity Annual Report (Form 1), 2024.</v>
      </c>
      <c r="E53" s="216"/>
      <c r="F53" s="216"/>
      <c r="G53" s="216"/>
      <c r="H53" s="216"/>
      <c r="I53" s="216"/>
      <c r="J53" s="216"/>
      <c r="K53" s="216"/>
      <c r="L53" s="216"/>
      <c r="M53" s="216"/>
      <c r="N53" s="216"/>
      <c r="O53" s="216"/>
    </row>
    <row r="54" spans="1:18" ht="15" customHeight="1" x14ac:dyDescent="0.35">
      <c r="D54" s="2209" t="str">
        <f>F24&amp;G9&amp;" to "&amp;F26&amp;G9&amp;":  Ohio rates estimated based on the average effective tax rates in Trumbull and Carroll counties. "&amp;"See Trumbull County Treasurer, 'Trumbull County Tax Rates for 2024'; Carroll County Auditor’s Office, '2024 Tax District Report', January 6, 2025."</f>
        <v>[7][A] to [9][A]:  Ohio rates estimated based on the average effective tax rates in Trumbull and Carroll counties. See Trumbull County Treasurer, 'Trumbull County Tax Rates for 2024'; Carroll County Auditor’s Office, '2024 Tax District Report', January 6, 2025.</v>
      </c>
      <c r="E54" s="2209"/>
      <c r="F54" s="2209"/>
      <c r="G54" s="2209"/>
      <c r="H54" s="2209"/>
      <c r="I54" s="2209"/>
      <c r="J54" s="2209"/>
      <c r="K54" s="2209"/>
      <c r="L54" s="2209"/>
      <c r="M54" s="2209"/>
      <c r="N54" s="2209"/>
      <c r="O54" s="2209"/>
    </row>
    <row r="55" spans="1:18" ht="15" customHeight="1" x14ac:dyDescent="0.35">
      <c r="D55" s="2209"/>
      <c r="E55" s="2209"/>
      <c r="F55" s="2209"/>
      <c r="G55" s="2209"/>
      <c r="H55" s="2209"/>
      <c r="I55" s="2209"/>
      <c r="J55" s="2209"/>
      <c r="K55" s="2209"/>
      <c r="L55" s="2209"/>
      <c r="M55" s="2209"/>
      <c r="N55" s="2209"/>
      <c r="O55" s="2209"/>
    </row>
    <row r="56" spans="1:18" ht="15" customHeight="1" x14ac:dyDescent="0.35">
      <c r="D56" s="93" t="str">
        <f>F24&amp;H9&amp;" to "&amp;F26&amp;H9&amp;": Ohio Legislative Service Commission, Ohio Revised Code 5715.01 § B, effective October 3, 2023."</f>
        <v>[7][B] to [9][B]: Ohio Legislative Service Commission, Ohio Revised Code 5715.01 § B, effective October 3, 2023.</v>
      </c>
      <c r="E56" s="93"/>
      <c r="F56" s="92"/>
      <c r="G56" s="26"/>
      <c r="H56" s="26"/>
      <c r="I56" s="26"/>
      <c r="J56" s="26"/>
      <c r="K56" s="26"/>
      <c r="L56" s="26"/>
      <c r="M56" s="26"/>
      <c r="N56" s="26"/>
      <c r="O56" s="26"/>
    </row>
    <row r="57" spans="1:18" s="1604" customFormat="1" ht="15" customHeight="1" x14ac:dyDescent="0.35">
      <c r="A57" s="1603"/>
      <c r="C57" s="1456"/>
      <c r="D57" s="93" t="str">
        <f>F24&amp;K9&amp;" to "&amp;F26&amp;K9&amp;": In Ohio, utility tangible personal property is taxed at the same rate as real property. See Kuhns et al, 'Public Utility Personal Property Tax Basic Overview,' May 2016."</f>
        <v>[7][D] to [9][D]: In Ohio, utility tangible personal property is taxed at the same rate as real property. See Kuhns et al, 'Public Utility Personal Property Tax Basic Overview,' May 2016.</v>
      </c>
      <c r="E57" s="93"/>
      <c r="F57" s="93"/>
      <c r="G57" s="93"/>
      <c r="H57" s="93"/>
      <c r="I57" s="93"/>
      <c r="J57" s="93"/>
      <c r="K57" s="93"/>
      <c r="L57" s="93"/>
      <c r="M57" s="93"/>
      <c r="N57" s="93"/>
      <c r="O57" s="93"/>
    </row>
    <row r="58" spans="1:18" ht="15" customHeight="1" x14ac:dyDescent="0.35">
      <c r="D58" s="2209" t="str">
        <f>F24&amp;L9&amp;" to "&amp;F26&amp;L9&amp;": All production plant for merchant energy companies in Ohio is assessed at 24%. See Ohio Department of Taxation, 'Instructions and Valuation Procedures for Filing Ohio Public Utility Property Tax Reports,'"&amp;" p.29."</f>
        <v>[7][E] to [9][E]: All production plant for merchant energy companies in Ohio is assessed at 24%. See Ohio Department of Taxation, 'Instructions and Valuation Procedures for Filing Ohio Public Utility Property Tax Reports,' p.29.</v>
      </c>
      <c r="E58" s="2209"/>
      <c r="F58" s="2209"/>
      <c r="G58" s="2209"/>
      <c r="H58" s="2209"/>
      <c r="I58" s="2209"/>
      <c r="J58" s="2209"/>
      <c r="K58" s="2209"/>
      <c r="L58" s="2209"/>
      <c r="M58" s="2209"/>
      <c r="N58" s="2209"/>
      <c r="O58" s="2209"/>
      <c r="P58" s="26"/>
      <c r="Q58" s="26"/>
      <c r="R58" s="26"/>
    </row>
    <row r="59" spans="1:18" ht="15" customHeight="1" x14ac:dyDescent="0.35">
      <c r="D59" s="2209"/>
      <c r="E59" s="2209"/>
      <c r="F59" s="2209"/>
      <c r="G59" s="2209"/>
      <c r="H59" s="2209"/>
      <c r="I59" s="2209"/>
      <c r="J59" s="2209"/>
      <c r="K59" s="2209"/>
      <c r="L59" s="2209"/>
      <c r="M59" s="2209"/>
      <c r="N59" s="2209"/>
      <c r="O59" s="2209"/>
      <c r="P59" s="26"/>
      <c r="Q59" s="26"/>
      <c r="R59" s="26"/>
    </row>
    <row r="60" spans="1:18" ht="15" customHeight="1" x14ac:dyDescent="0.35">
      <c r="D60" s="2209" t="str">
        <f>F24&amp;N9&amp;": Depreciation schedules are found in Ohio Department of Taxation, 2025 Form U-EN, SchC-Prod Tab. Merchant energy production plant is valued as Class C-30, see Ohio Department of Taxation,"&amp;" 'Instructions and Valuation Procedures for Filing Ohio Public Utility Property Tax Reports, pp. 14, 29."</f>
        <v>[7][G]: Depreciation schedules are found in Ohio Department of Taxation, 2025 Form U-EN, SchC-Prod Tab. Merchant energy production plant is valued as Class C-30, see Ohio Department of Taxation, 'Instructions and Valuation Procedures for Filing Ohio Public Utility Property Tax Reports, pp. 14, 29.</v>
      </c>
      <c r="E60" s="2209"/>
      <c r="F60" s="2209"/>
      <c r="G60" s="2209"/>
      <c r="H60" s="2209"/>
      <c r="I60" s="2209"/>
      <c r="J60" s="2209"/>
      <c r="K60" s="2209"/>
      <c r="L60" s="2209"/>
      <c r="M60" s="2209"/>
      <c r="N60" s="2209"/>
      <c r="O60" s="2209"/>
      <c r="P60" s="26"/>
      <c r="Q60" s="26"/>
      <c r="R60" s="26"/>
    </row>
    <row r="61" spans="1:18" ht="15" customHeight="1" x14ac:dyDescent="0.35">
      <c r="D61" s="2209"/>
      <c r="E61" s="2209"/>
      <c r="F61" s="2209"/>
      <c r="G61" s="2209"/>
      <c r="H61" s="2209"/>
      <c r="I61" s="2209"/>
      <c r="J61" s="2209"/>
      <c r="K61" s="2209"/>
      <c r="L61" s="2209"/>
      <c r="M61" s="2209"/>
      <c r="N61" s="2209"/>
      <c r="O61" s="2209"/>
      <c r="P61" s="26"/>
      <c r="Q61" s="26"/>
      <c r="R61" s="26"/>
    </row>
    <row r="62" spans="1:18" ht="15" customHeight="1" x14ac:dyDescent="0.35">
      <c r="D62" s="93" t="str">
        <f>F27&amp;G9&amp;" to "&amp;F28&amp;G9&amp;": Pennsylvania tax rates for Rest of RTO based on 2025 rates in the county of Lawrence. See Lawrence County Board of Assessment, '2025 Millage Rate'."</f>
        <v>[10][A] to [11][A]: Pennsylvania tax rates for Rest of RTO based on 2025 rates in the county of Lawrence. See Lawrence County Board of Assessment, '2025 Millage Rate'.</v>
      </c>
      <c r="E62" s="2159"/>
      <c r="F62" s="2159"/>
      <c r="G62" s="2159"/>
      <c r="H62" s="2159"/>
      <c r="I62" s="2159"/>
      <c r="J62" s="2159"/>
      <c r="K62" s="2159"/>
      <c r="L62" s="2159"/>
      <c r="M62" s="2159"/>
      <c r="N62" s="2159"/>
      <c r="O62" s="2159"/>
    </row>
    <row r="63" spans="1:18" ht="15" customHeight="1" x14ac:dyDescent="0.35">
      <c r="D63" s="2209" t="str">
        <f>F27&amp;H9&amp;" to "&amp;F34&amp;H9&amp;": Pennsylvania publishes Common Level Ratios (CLRs) for each county to be used in assessment appeals. This model assumes that the property is assessed accurately, so CLRs greater than 100% were assumed to be 100%."&amp;" See Pennsylvania Department of Revenue, 'Common Level Ratio (CLR) Real Estate Valuation Factors'."</f>
        <v>[10][B] to [15][B]: Pennsylvania publishes Common Level Ratios (CLRs) for each county to be used in assessment appeals. This model assumes that the property is assessed accurately, so CLRs greater than 100% were assumed to be 100%. See Pennsylvania Department of Revenue, 'Common Level Ratio (CLR) Real Estate Valuation Factors'.</v>
      </c>
      <c r="E63" s="2209"/>
      <c r="F63" s="2209"/>
      <c r="G63" s="2209"/>
      <c r="H63" s="2209"/>
      <c r="I63" s="2209"/>
      <c r="J63" s="2209"/>
      <c r="K63" s="2209"/>
      <c r="L63" s="2209"/>
      <c r="M63" s="2209"/>
      <c r="N63" s="2209"/>
      <c r="O63" s="2209"/>
    </row>
    <row r="64" spans="1:18" ht="15" customHeight="1" x14ac:dyDescent="0.35">
      <c r="D64" s="2209"/>
      <c r="E64" s="2209"/>
      <c r="F64" s="2209"/>
      <c r="G64" s="2209"/>
      <c r="H64" s="2209"/>
      <c r="I64" s="2209"/>
      <c r="J64" s="2209"/>
      <c r="K64" s="2209"/>
      <c r="L64" s="2209"/>
      <c r="M64" s="2209"/>
      <c r="N64" s="2209"/>
      <c r="O64" s="2209"/>
    </row>
    <row r="65" spans="4:15" ht="15" customHeight="1" x14ac:dyDescent="0.35">
      <c r="D65" s="2209" t="str">
        <f>F27&amp;K9&amp;" to "&amp;F34&amp;O9&amp;": Only real estate tax is assessed by local governments. See Pennyslvania Local Government Commission, ‘Pennsylvania Legislator's Municipal Deskbook 7th Edition,’ 2025, p.131."</f>
        <v>[10][D] to [15][H]: Only real estate tax is assessed by local governments. See Pennyslvania Local Government Commission, ‘Pennsylvania Legislator's Municipal Deskbook 7th Edition,’ 2025, p.131.</v>
      </c>
      <c r="E65" s="2209"/>
      <c r="F65" s="2209"/>
      <c r="G65" s="2209"/>
      <c r="H65" s="2209"/>
      <c r="I65" s="2209"/>
      <c r="J65" s="2209"/>
      <c r="K65" s="2209"/>
      <c r="L65" s="2209"/>
      <c r="M65" s="2209"/>
      <c r="N65" s="2209"/>
      <c r="O65" s="2209"/>
    </row>
    <row r="66" spans="4:15" ht="15" customHeight="1" x14ac:dyDescent="0.35">
      <c r="D66" s="2209"/>
      <c r="E66" s="2209"/>
      <c r="F66" s="2209"/>
      <c r="G66" s="2209"/>
      <c r="H66" s="2209"/>
      <c r="I66" s="2209"/>
      <c r="J66" s="2209"/>
      <c r="K66" s="2209"/>
      <c r="L66" s="2209"/>
      <c r="M66" s="2209"/>
      <c r="N66" s="2209"/>
      <c r="O66" s="2209"/>
    </row>
    <row r="67" spans="4:15" ht="15" customHeight="1" x14ac:dyDescent="0.35">
      <c r="D67" s="2209" t="str">
        <f>F31&amp;G9&amp;":  Pennsylvania county tax rates for WMAAC based on average effective tax rate between Luzerne, Lycoming, and Bradford counties. See Luzerne County Assessment Office, '2024 Millages';"&amp;" Lycoming County Assessment Office, '2025 Millages,' January 29, 2025; Bradford County Assessment Office, '2024 Mill Rates'."</f>
        <v>[12][A]:  Pennsylvania county tax rates for WMAAC based on average effective tax rate between Luzerne, Lycoming, and Bradford counties. See Luzerne County Assessment Office, '2024 Millages'; Lycoming County Assessment Office, '2025 Millages,' January 29, 2025; Bradford County Assessment Office, '2024 Mill Rates'.</v>
      </c>
      <c r="E67" s="2209"/>
      <c r="F67" s="2209"/>
      <c r="G67" s="2209"/>
      <c r="H67" s="2209"/>
      <c r="I67" s="2209"/>
      <c r="J67" s="2209"/>
      <c r="K67" s="2209"/>
      <c r="L67" s="2209"/>
      <c r="M67" s="2209"/>
      <c r="N67" s="2209"/>
      <c r="O67" s="2209"/>
    </row>
    <row r="68" spans="4:15" ht="15" customHeight="1" x14ac:dyDescent="0.35">
      <c r="D68" s="2209"/>
      <c r="E68" s="2209"/>
      <c r="F68" s="2209"/>
      <c r="G68" s="2209"/>
      <c r="H68" s="2209"/>
      <c r="I68" s="2209"/>
      <c r="J68" s="2209"/>
      <c r="K68" s="2209"/>
      <c r="L68" s="2209"/>
      <c r="M68" s="2209"/>
      <c r="N68" s="2209"/>
      <c r="O68" s="2209"/>
    </row>
    <row r="69" spans="4:15" ht="15" customHeight="1" x14ac:dyDescent="0.35">
      <c r="D69" s="93" t="str">
        <f>F37&amp;G9&amp;" to "&amp;F38&amp;G9&amp;": Will County Clerk, 'Tax Codes and Rates by Township,' 2023."</f>
        <v>[16][A] to [17][A]: Will County Clerk, 'Tax Codes and Rates by Township,' 2023.</v>
      </c>
      <c r="E69" s="93"/>
      <c r="F69" s="92"/>
      <c r="G69" s="26"/>
      <c r="H69" s="26"/>
      <c r="I69" s="26"/>
      <c r="J69" s="26"/>
      <c r="K69" s="26"/>
      <c r="L69" s="26"/>
      <c r="M69" s="26"/>
      <c r="N69" s="26"/>
      <c r="O69" s="26"/>
    </row>
    <row r="70" spans="4:15" ht="15" customHeight="1" x14ac:dyDescent="0.35">
      <c r="D70" s="2209" t="str">
        <f>$F$37&amp;$H$9&amp;" to "&amp;F38&amp;H9&amp;": Illinois General Assembly, 35 ILCS 200/9-145."</f>
        <v>[16][B] to [17][B]: Illinois General Assembly, 35 ILCS 200/9-145.</v>
      </c>
      <c r="E70" s="2209"/>
      <c r="F70" s="2209"/>
      <c r="G70" s="2209"/>
      <c r="H70" s="2209"/>
      <c r="I70" s="2209"/>
      <c r="J70" s="2209"/>
      <c r="K70" s="2209"/>
      <c r="L70" s="2209"/>
      <c r="M70" s="2209"/>
      <c r="N70" s="2209"/>
      <c r="O70" s="2209"/>
    </row>
    <row r="71" spans="4:15" ht="15" customHeight="1" x14ac:dyDescent="0.35">
      <c r="D71" s="93" t="str">
        <f>F37&amp;K9&amp;" to "&amp;F38&amp;O9&amp;": Illinois does not collect business personal property taxes. See Illinois General Assmebly, 30 ILCS 115/12."</f>
        <v>[16][D] to [17][H]: Illinois does not collect business personal property taxes. See Illinois General Assmebly, 30 ILCS 115/12.</v>
      </c>
      <c r="E71" s="93"/>
      <c r="F71" s="92"/>
      <c r="G71" s="26"/>
      <c r="H71" s="26"/>
      <c r="I71" s="26"/>
      <c r="J71" s="26"/>
      <c r="K71" s="26"/>
      <c r="L71" s="26"/>
      <c r="M71" s="26"/>
      <c r="N71" s="26"/>
      <c r="O71" s="26"/>
    </row>
  </sheetData>
  <mergeCells count="11">
    <mergeCell ref="G7:I7"/>
    <mergeCell ref="K7:O7"/>
    <mergeCell ref="D70:O70"/>
    <mergeCell ref="D49:O50"/>
    <mergeCell ref="D65:O66"/>
    <mergeCell ref="D60:O61"/>
    <mergeCell ref="D54:O55"/>
    <mergeCell ref="D58:O59"/>
    <mergeCell ref="D67:O68"/>
    <mergeCell ref="D46:O47"/>
    <mergeCell ref="D63:O64"/>
  </mergeCells>
  <printOptions horizontalCentered="1"/>
  <pageMargins left="0.7" right="0.7" top="0.75" bottom="0.75" header="0.3" footer="0.3"/>
  <pageSetup orientation="landscape" horizontalDpi="1200" verticalDpi="1200" r:id="rId1"/>
  <headerFooter scaleWithDoc="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5F35-4F69-4566-B3E1-137D66573941}">
  <sheetPr codeName="Sheet41">
    <tabColor theme="2"/>
    <pageSetUpPr autoPageBreaks="0"/>
  </sheetPr>
  <dimension ref="A1"/>
  <sheetViews>
    <sheetView topLeftCell="A1048576" zoomScale="70" zoomScaleNormal="70" workbookViewId="0"/>
  </sheetViews>
  <sheetFormatPr defaultColWidth="8.7265625" defaultRowHeight="15" customHeight="1" zeroHeight="1" x14ac:dyDescent="0.35"/>
  <cols>
    <col min="1" max="16384" width="8.7265625" style="5"/>
  </cols>
  <sheetData/>
  <printOptions horizontalCentered="1"/>
  <pageMargins left="0.7" right="0.7" top="0.75" bottom="0.75" header="0.3" footer="0.3"/>
  <pageSetup orientation="landscape" horizontalDpi="1200" verticalDpi="1200" r:id="rId1"/>
  <headerFooter scaleWithDoc="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8A4C-9328-4D59-B5AF-BB0EA108E148}">
  <sheetPr codeName="Sheet42">
    <pageSetUpPr fitToPage="1"/>
  </sheetPr>
  <dimension ref="A1:P88"/>
  <sheetViews>
    <sheetView showGridLines="0" zoomScale="70" zoomScaleNormal="70" workbookViewId="0"/>
  </sheetViews>
  <sheetFormatPr defaultColWidth="9.1796875" defaultRowHeight="14.5" x14ac:dyDescent="0.35"/>
  <cols>
    <col min="1" max="3" width="13.54296875" style="728" customWidth="1"/>
    <col min="4" max="4" width="39.81640625" style="28" customWidth="1"/>
    <col min="5" max="5" width="26.453125" style="28" customWidth="1"/>
    <col min="6" max="6" width="24.81640625" style="28" customWidth="1"/>
    <col min="7" max="15" width="15.54296875" style="28" customWidth="1"/>
    <col min="16" max="16" width="2.81640625" style="28" customWidth="1"/>
    <col min="17" max="16384" width="9.1796875" style="28"/>
  </cols>
  <sheetData>
    <row r="1" spans="1:16" ht="15" customHeight="1" x14ac:dyDescent="0.35">
      <c r="A1" s="81" t="s">
        <v>275</v>
      </c>
      <c r="B1" s="28"/>
      <c r="C1" s="566"/>
    </row>
    <row r="2" spans="1:16" ht="15" customHeight="1" x14ac:dyDescent="0.35">
      <c r="A2" s="28"/>
      <c r="B2" s="28"/>
      <c r="C2" s="566"/>
    </row>
    <row r="3" spans="1:16" ht="15" customHeight="1" x14ac:dyDescent="0.35">
      <c r="A3" s="28"/>
      <c r="B3" s="28"/>
      <c r="C3" s="566"/>
      <c r="D3" s="88" t="str">
        <f>LEFT($D4, FIND(":",$D4)-1)</f>
        <v>Table C7</v>
      </c>
    </row>
    <row r="4" spans="1:16" ht="15" customHeight="1" x14ac:dyDescent="0.35">
      <c r="A4" s="28"/>
      <c r="B4" s="28"/>
      <c r="C4" s="566"/>
      <c r="D4" s="86" t="str">
        <f>ToC!$J$46</f>
        <v>Table C7: CC + CT Cost Assumptions</v>
      </c>
      <c r="F4" s="35"/>
    </row>
    <row r="5" spans="1:16" ht="6" customHeight="1" thickBot="1" x14ac:dyDescent="0.4">
      <c r="D5" s="416"/>
      <c r="E5" s="85"/>
      <c r="F5" s="85"/>
      <c r="G5" s="85"/>
      <c r="H5" s="85"/>
      <c r="I5" s="85"/>
      <c r="J5" s="85"/>
      <c r="K5" s="85"/>
      <c r="L5" s="85"/>
      <c r="M5" s="85"/>
      <c r="N5" s="85"/>
      <c r="O5" s="85"/>
    </row>
    <row r="6" spans="1:16" ht="6" customHeight="1" thickTop="1" x14ac:dyDescent="0.35">
      <c r="A6" s="756"/>
      <c r="B6" s="756"/>
      <c r="C6" s="756"/>
      <c r="D6" s="714"/>
      <c r="E6" s="715"/>
      <c r="K6" s="714"/>
      <c r="N6" s="417"/>
      <c r="O6" s="715"/>
    </row>
    <row r="7" spans="1:16" ht="12.75" customHeight="1" x14ac:dyDescent="0.35">
      <c r="A7" s="756"/>
      <c r="B7" s="756"/>
      <c r="C7" s="756"/>
      <c r="D7" s="418"/>
      <c r="E7" s="419"/>
      <c r="F7" s="2116" t="s">
        <v>288</v>
      </c>
      <c r="G7" s="118" t="s">
        <v>289</v>
      </c>
      <c r="H7" s="118" t="s">
        <v>290</v>
      </c>
      <c r="I7" s="118" t="s">
        <v>291</v>
      </c>
      <c r="J7" s="118" t="s">
        <v>299</v>
      </c>
      <c r="K7" s="757" t="s">
        <v>288</v>
      </c>
      <c r="L7" s="758" t="s">
        <v>289</v>
      </c>
      <c r="M7" s="758" t="s">
        <v>290</v>
      </c>
      <c r="N7" s="758" t="s">
        <v>291</v>
      </c>
      <c r="O7" s="759" t="s">
        <v>299</v>
      </c>
      <c r="P7" s="420"/>
    </row>
    <row r="8" spans="1:16" ht="43.5" x14ac:dyDescent="0.35">
      <c r="D8" s="1207" t="s">
        <v>357</v>
      </c>
      <c r="E8" s="760" t="s">
        <v>24</v>
      </c>
      <c r="F8" s="425" t="s">
        <v>354</v>
      </c>
      <c r="G8" s="425" t="s">
        <v>354</v>
      </c>
      <c r="H8" s="425" t="s">
        <v>354</v>
      </c>
      <c r="I8" s="425" t="s">
        <v>354</v>
      </c>
      <c r="J8" s="425" t="s">
        <v>354</v>
      </c>
      <c r="K8" s="422" t="s">
        <v>415</v>
      </c>
      <c r="L8" s="423" t="s">
        <v>415</v>
      </c>
      <c r="M8" s="423" t="s">
        <v>415</v>
      </c>
      <c r="N8" s="423" t="s">
        <v>415</v>
      </c>
      <c r="O8" s="424" t="s">
        <v>415</v>
      </c>
      <c r="P8" s="425"/>
    </row>
    <row r="9" spans="1:16" ht="6" customHeight="1" x14ac:dyDescent="0.35">
      <c r="D9" s="1208"/>
      <c r="E9" s="761"/>
      <c r="F9" s="720"/>
      <c r="G9" s="720"/>
      <c r="H9" s="720"/>
      <c r="I9" s="720"/>
      <c r="J9" s="720"/>
      <c r="K9" s="719"/>
      <c r="L9" s="720"/>
      <c r="M9" s="720"/>
      <c r="N9" s="720"/>
      <c r="O9" s="721"/>
      <c r="P9" s="428"/>
    </row>
    <row r="10" spans="1:16" ht="6" customHeight="1" x14ac:dyDescent="0.35">
      <c r="D10" s="418"/>
      <c r="E10" s="419"/>
      <c r="F10" s="428"/>
      <c r="G10" s="428"/>
      <c r="H10" s="428"/>
      <c r="I10" s="428"/>
      <c r="J10" s="428"/>
      <c r="K10" s="427"/>
      <c r="L10" s="428"/>
      <c r="M10" s="428"/>
      <c r="N10" s="428"/>
      <c r="O10" s="429"/>
      <c r="P10" s="428"/>
    </row>
    <row r="11" spans="1:16" x14ac:dyDescent="0.35">
      <c r="D11" s="527" t="s">
        <v>359</v>
      </c>
      <c r="E11" s="526"/>
      <c r="F11" s="525"/>
      <c r="G11" s="526"/>
      <c r="H11" s="525"/>
      <c r="I11" s="526"/>
      <c r="J11" s="526"/>
      <c r="K11" s="525"/>
      <c r="L11" s="526"/>
      <c r="M11" s="525"/>
      <c r="N11" s="526"/>
      <c r="O11" s="526"/>
      <c r="P11" s="433"/>
    </row>
    <row r="12" spans="1:16" x14ac:dyDescent="0.35">
      <c r="A12" s="762"/>
      <c r="B12" s="762"/>
      <c r="C12" s="762"/>
      <c r="D12" s="1209" t="s">
        <v>440</v>
      </c>
      <c r="E12" s="845"/>
      <c r="F12" s="482"/>
      <c r="G12" s="482"/>
      <c r="H12" s="482"/>
      <c r="I12" s="482"/>
      <c r="J12" s="482"/>
      <c r="K12" s="846"/>
      <c r="L12" s="847"/>
      <c r="M12" s="847"/>
      <c r="N12" s="847"/>
      <c r="O12" s="848"/>
      <c r="P12" s="428"/>
    </row>
    <row r="13" spans="1:16" ht="12.75" customHeight="1" x14ac:dyDescent="0.35">
      <c r="D13" s="1209" t="s">
        <v>441</v>
      </c>
      <c r="E13" s="849" t="s">
        <v>4</v>
      </c>
      <c r="F13" s="850">
        <v>391.786</v>
      </c>
      <c r="G13" s="850">
        <v>394.51</v>
      </c>
      <c r="H13" s="850">
        <v>386.65899999999999</v>
      </c>
      <c r="I13" s="850">
        <v>382.91800000000001</v>
      </c>
      <c r="J13" s="850">
        <v>392.53399999999999</v>
      </c>
      <c r="K13" s="851">
        <v>1125.0930000000001</v>
      </c>
      <c r="L13" s="850">
        <v>1126.6669999999999</v>
      </c>
      <c r="M13" s="850">
        <v>1111.748</v>
      </c>
      <c r="N13" s="850">
        <v>1099.874</v>
      </c>
      <c r="O13" s="852">
        <v>1128.9000000000001</v>
      </c>
      <c r="P13" s="763"/>
    </row>
    <row r="14" spans="1:16" ht="12.75" customHeight="1" x14ac:dyDescent="0.35">
      <c r="D14" s="1209" t="s">
        <v>442</v>
      </c>
      <c r="E14" s="849" t="s">
        <v>4</v>
      </c>
      <c r="F14" s="850">
        <v>407.81400000000002</v>
      </c>
      <c r="G14" s="850">
        <v>410.505</v>
      </c>
      <c r="H14" s="850">
        <v>398.48</v>
      </c>
      <c r="I14" s="850">
        <v>395.56</v>
      </c>
      <c r="J14" s="850">
        <v>403.72800000000001</v>
      </c>
      <c r="K14" s="851">
        <v>1198.5450000000001</v>
      </c>
      <c r="L14" s="850">
        <v>1205.7090000000001</v>
      </c>
      <c r="M14" s="850">
        <v>1172.454</v>
      </c>
      <c r="N14" s="850">
        <v>1164.249</v>
      </c>
      <c r="O14" s="852">
        <v>1187.0999999999999</v>
      </c>
      <c r="P14" s="763"/>
    </row>
    <row r="15" spans="1:16" ht="12.75" customHeight="1" x14ac:dyDescent="0.35">
      <c r="D15" s="1209"/>
      <c r="E15" s="849"/>
      <c r="F15" s="482"/>
      <c r="G15" s="482"/>
      <c r="H15" s="482"/>
      <c r="I15" s="482"/>
      <c r="J15" s="482"/>
      <c r="K15" s="853"/>
      <c r="L15" s="854"/>
      <c r="M15" s="854"/>
      <c r="N15" s="854"/>
      <c r="O15" s="855"/>
      <c r="P15" s="764"/>
    </row>
    <row r="16" spans="1:16" ht="12.75" customHeight="1" x14ac:dyDescent="0.35">
      <c r="D16" s="1209" t="s">
        <v>443</v>
      </c>
      <c r="E16" s="849"/>
      <c r="F16" s="482"/>
      <c r="G16" s="482"/>
      <c r="H16" s="482"/>
      <c r="I16" s="482"/>
      <c r="J16" s="482"/>
      <c r="K16" s="853"/>
      <c r="L16" s="854"/>
      <c r="M16" s="854"/>
      <c r="N16" s="854"/>
      <c r="O16" s="855"/>
      <c r="P16" s="764"/>
    </row>
    <row r="17" spans="4:16" ht="12.75" customHeight="1" x14ac:dyDescent="0.35">
      <c r="D17" s="1209" t="s">
        <v>441</v>
      </c>
      <c r="E17" s="849" t="s">
        <v>4</v>
      </c>
      <c r="F17" s="503" t="s">
        <v>95</v>
      </c>
      <c r="G17" s="503" t="s">
        <v>95</v>
      </c>
      <c r="H17" s="503" t="s">
        <v>95</v>
      </c>
      <c r="I17" s="503" t="s">
        <v>95</v>
      </c>
      <c r="J17" s="503" t="s">
        <v>95</v>
      </c>
      <c r="K17" s="851">
        <v>1289.1210000000001</v>
      </c>
      <c r="L17" s="850">
        <v>1289.296</v>
      </c>
      <c r="M17" s="850">
        <v>1276.144</v>
      </c>
      <c r="N17" s="850">
        <v>1263.559</v>
      </c>
      <c r="O17" s="852">
        <v>1293.8</v>
      </c>
      <c r="P17" s="763"/>
    </row>
    <row r="18" spans="4:16" ht="12.75" customHeight="1" x14ac:dyDescent="0.35">
      <c r="D18" s="1209" t="s">
        <v>442</v>
      </c>
      <c r="E18" s="849" t="s">
        <v>4</v>
      </c>
      <c r="F18" s="503" t="s">
        <v>95</v>
      </c>
      <c r="G18" s="503" t="s">
        <v>95</v>
      </c>
      <c r="H18" s="503" t="s">
        <v>95</v>
      </c>
      <c r="I18" s="503" t="s">
        <v>95</v>
      </c>
      <c r="J18" s="503" t="s">
        <v>95</v>
      </c>
      <c r="K18" s="851">
        <v>1371.1479999999999</v>
      </c>
      <c r="L18" s="850">
        <v>1378.2380000000001</v>
      </c>
      <c r="M18" s="850">
        <v>1344.973</v>
      </c>
      <c r="N18" s="850">
        <v>1336.67</v>
      </c>
      <c r="O18" s="852">
        <v>1359.7660000000001</v>
      </c>
      <c r="P18" s="763"/>
    </row>
    <row r="19" spans="4:16" ht="12.75" customHeight="1" x14ac:dyDescent="0.35">
      <c r="D19" s="1209"/>
      <c r="E19" s="849"/>
      <c r="F19" s="482"/>
      <c r="G19" s="482"/>
      <c r="H19" s="482"/>
      <c r="I19" s="482"/>
      <c r="J19" s="482"/>
      <c r="K19" s="851"/>
      <c r="L19" s="850"/>
      <c r="M19" s="850"/>
      <c r="N19" s="850"/>
      <c r="O19" s="852"/>
      <c r="P19" s="763"/>
    </row>
    <row r="20" spans="4:16" ht="12.75" customHeight="1" x14ac:dyDescent="0.35">
      <c r="D20" s="1209" t="s">
        <v>444</v>
      </c>
      <c r="E20" s="849"/>
      <c r="F20" s="482"/>
      <c r="G20" s="482"/>
      <c r="H20" s="482"/>
      <c r="I20" s="482"/>
      <c r="J20" s="482"/>
      <c r="K20" s="851"/>
      <c r="L20" s="850"/>
      <c r="M20" s="850"/>
      <c r="N20" s="850"/>
      <c r="O20" s="852"/>
      <c r="P20" s="763"/>
    </row>
    <row r="21" spans="4:16" x14ac:dyDescent="0.35">
      <c r="D21" s="1209" t="s">
        <v>445</v>
      </c>
      <c r="E21" s="849" t="s">
        <v>446</v>
      </c>
      <c r="F21" s="856">
        <v>9166</v>
      </c>
      <c r="G21" s="856">
        <v>9161</v>
      </c>
      <c r="H21" s="856">
        <v>9141</v>
      </c>
      <c r="I21" s="856">
        <v>9149</v>
      </c>
      <c r="J21" s="856">
        <v>9133</v>
      </c>
      <c r="K21" s="860">
        <v>6318</v>
      </c>
      <c r="L21" s="856">
        <v>6345</v>
      </c>
      <c r="M21" s="856">
        <v>6303</v>
      </c>
      <c r="N21" s="856">
        <v>6314</v>
      </c>
      <c r="O21" s="861">
        <v>6294</v>
      </c>
      <c r="P21" s="765"/>
    </row>
    <row r="22" spans="4:16" x14ac:dyDescent="0.35">
      <c r="D22" s="1209" t="s">
        <v>442</v>
      </c>
      <c r="E22" s="849" t="s">
        <v>446</v>
      </c>
      <c r="F22" s="856">
        <v>9036</v>
      </c>
      <c r="G22" s="856">
        <v>9034</v>
      </c>
      <c r="H22" s="856">
        <v>9040</v>
      </c>
      <c r="I22" s="856">
        <v>9041</v>
      </c>
      <c r="J22" s="699">
        <v>9037</v>
      </c>
      <c r="K22" s="860">
        <v>6141</v>
      </c>
      <c r="L22" s="856">
        <v>6140</v>
      </c>
      <c r="M22" s="856">
        <v>6143</v>
      </c>
      <c r="N22" s="856">
        <v>6144</v>
      </c>
      <c r="O22" s="862">
        <v>6142</v>
      </c>
      <c r="P22" s="766"/>
    </row>
    <row r="23" spans="4:16" ht="12.75" customHeight="1" x14ac:dyDescent="0.35">
      <c r="D23" s="1209"/>
      <c r="E23" s="849"/>
      <c r="F23" s="858"/>
      <c r="G23" s="858"/>
      <c r="H23" s="858"/>
      <c r="I23" s="858"/>
      <c r="J23" s="858"/>
      <c r="K23" s="860"/>
      <c r="L23" s="856"/>
      <c r="M23" s="856"/>
      <c r="N23" s="856"/>
      <c r="O23" s="861"/>
      <c r="P23" s="765"/>
    </row>
    <row r="24" spans="4:16" ht="12.75" customHeight="1" x14ac:dyDescent="0.35">
      <c r="D24" s="1209" t="s">
        <v>447</v>
      </c>
      <c r="E24" s="849"/>
      <c r="F24" s="482"/>
      <c r="G24" s="482"/>
      <c r="H24" s="482"/>
      <c r="I24" s="482"/>
      <c r="J24" s="483"/>
      <c r="K24" s="851"/>
      <c r="L24" s="850"/>
      <c r="M24" s="850"/>
      <c r="N24" s="850"/>
      <c r="O24" s="852"/>
      <c r="P24" s="763"/>
    </row>
    <row r="25" spans="4:16" x14ac:dyDescent="0.35">
      <c r="D25" s="1209" t="s">
        <v>445</v>
      </c>
      <c r="E25" s="849" t="s">
        <v>446</v>
      </c>
      <c r="F25" s="503" t="s">
        <v>95</v>
      </c>
      <c r="G25" s="503" t="s">
        <v>95</v>
      </c>
      <c r="H25" s="503" t="s">
        <v>95</v>
      </c>
      <c r="I25" s="503" t="s">
        <v>95</v>
      </c>
      <c r="J25" s="504" t="s">
        <v>95</v>
      </c>
      <c r="K25" s="860">
        <v>6595</v>
      </c>
      <c r="L25" s="856">
        <v>6625</v>
      </c>
      <c r="M25" s="856">
        <v>6583</v>
      </c>
      <c r="N25" s="856">
        <v>6600</v>
      </c>
      <c r="O25" s="861">
        <v>6569</v>
      </c>
      <c r="P25" s="765"/>
    </row>
    <row r="26" spans="4:16" x14ac:dyDescent="0.35">
      <c r="D26" s="1209" t="s">
        <v>442</v>
      </c>
      <c r="E26" s="849" t="s">
        <v>446</v>
      </c>
      <c r="F26" s="503" t="s">
        <v>95</v>
      </c>
      <c r="G26" s="503" t="s">
        <v>95</v>
      </c>
      <c r="H26" s="503" t="s">
        <v>95</v>
      </c>
      <c r="I26" s="503" t="s">
        <v>95</v>
      </c>
      <c r="J26" s="504" t="s">
        <v>95</v>
      </c>
      <c r="K26" s="856">
        <v>6385</v>
      </c>
      <c r="L26" s="856">
        <v>6383</v>
      </c>
      <c r="M26" s="856">
        <v>6393</v>
      </c>
      <c r="N26" s="856">
        <v>6396</v>
      </c>
      <c r="O26" s="862">
        <v>6388</v>
      </c>
      <c r="P26" s="766"/>
    </row>
    <row r="27" spans="4:16" x14ac:dyDescent="0.35">
      <c r="D27" s="1210"/>
      <c r="E27" s="849"/>
      <c r="F27" s="503"/>
      <c r="G27" s="503"/>
      <c r="H27" s="503"/>
      <c r="I27" s="503"/>
      <c r="J27" s="504"/>
      <c r="K27" s="860"/>
      <c r="L27" s="856"/>
      <c r="M27" s="856"/>
      <c r="N27" s="856"/>
      <c r="O27" s="861"/>
      <c r="P27" s="765"/>
    </row>
    <row r="28" spans="4:16" x14ac:dyDescent="0.35">
      <c r="D28" s="1209" t="s">
        <v>448</v>
      </c>
      <c r="E28" s="849" t="s">
        <v>449</v>
      </c>
      <c r="F28" s="856">
        <v>21</v>
      </c>
      <c r="G28" s="856">
        <v>21</v>
      </c>
      <c r="H28" s="856">
        <v>21</v>
      </c>
      <c r="I28" s="856">
        <v>21</v>
      </c>
      <c r="J28" s="856">
        <v>21</v>
      </c>
      <c r="K28" s="860">
        <v>120</v>
      </c>
      <c r="L28" s="856">
        <v>120</v>
      </c>
      <c r="M28" s="856">
        <v>120</v>
      </c>
      <c r="N28" s="856">
        <v>120</v>
      </c>
      <c r="O28" s="861">
        <v>120</v>
      </c>
      <c r="P28" s="765"/>
    </row>
    <row r="29" spans="4:16" x14ac:dyDescent="0.35">
      <c r="D29" s="1211" t="s">
        <v>450</v>
      </c>
      <c r="E29" s="863" t="s">
        <v>451</v>
      </c>
      <c r="F29" s="856">
        <v>507.28790931719999</v>
      </c>
      <c r="G29" s="856">
        <v>510.63529749899988</v>
      </c>
      <c r="H29" s="856">
        <v>495.83902447999998</v>
      </c>
      <c r="I29" s="856">
        <v>492.25915138399995</v>
      </c>
      <c r="J29" s="856">
        <v>502.47838606184916</v>
      </c>
      <c r="K29" s="860">
        <v>8909.0308198349794</v>
      </c>
      <c r="L29" s="856">
        <v>8961.5859001132376</v>
      </c>
      <c r="M29" s="856">
        <v>8732.6835811717046</v>
      </c>
      <c r="N29" s="856">
        <v>8678.0078943300559</v>
      </c>
      <c r="O29" s="861">
        <v>8840.7456643794867</v>
      </c>
      <c r="P29" s="765"/>
    </row>
    <row r="30" spans="4:16" ht="12.75" customHeight="1" x14ac:dyDescent="0.35">
      <c r="D30" s="1210" t="s">
        <v>367</v>
      </c>
      <c r="E30" s="849" t="s">
        <v>368</v>
      </c>
      <c r="F30" s="864">
        <v>2.1999999999999999E-2</v>
      </c>
      <c r="G30" s="864">
        <v>2.1999999999999999E-2</v>
      </c>
      <c r="H30" s="864">
        <v>2.1999999999999999E-2</v>
      </c>
      <c r="I30" s="864">
        <v>2.1999999999999999E-2</v>
      </c>
      <c r="J30" s="864">
        <v>2.1999999999999999E-2</v>
      </c>
      <c r="K30" s="865">
        <v>0.02</v>
      </c>
      <c r="L30" s="864">
        <v>0.02</v>
      </c>
      <c r="M30" s="864">
        <v>0.02</v>
      </c>
      <c r="N30" s="864">
        <v>0.02</v>
      </c>
      <c r="O30" s="866">
        <v>0.02</v>
      </c>
      <c r="P30" s="767"/>
    </row>
    <row r="31" spans="4:16" ht="6" customHeight="1" x14ac:dyDescent="0.35">
      <c r="D31" s="1212"/>
      <c r="E31" s="768"/>
      <c r="F31" s="769"/>
      <c r="G31" s="769"/>
      <c r="H31" s="769"/>
      <c r="I31" s="769"/>
      <c r="J31" s="769"/>
      <c r="K31" s="770"/>
      <c r="L31" s="769"/>
      <c r="M31" s="769"/>
      <c r="N31" s="769"/>
      <c r="O31" s="771"/>
      <c r="P31" s="448"/>
    </row>
    <row r="32" spans="4:16" ht="6" customHeight="1" x14ac:dyDescent="0.35">
      <c r="D32" s="1213"/>
      <c r="E32" s="772"/>
      <c r="F32" s="448"/>
      <c r="G32" s="448"/>
      <c r="H32" s="448"/>
      <c r="I32" s="448"/>
      <c r="J32" s="448"/>
      <c r="K32" s="450"/>
      <c r="L32" s="448"/>
      <c r="M32" s="448"/>
      <c r="N32" s="448"/>
      <c r="O32" s="451"/>
      <c r="P32" s="448"/>
    </row>
    <row r="33" spans="1:16" x14ac:dyDescent="0.35">
      <c r="D33" s="527" t="s">
        <v>231</v>
      </c>
      <c r="E33" s="526"/>
      <c r="F33" s="525"/>
      <c r="G33" s="526"/>
      <c r="H33" s="525"/>
      <c r="I33" s="526"/>
      <c r="J33" s="526"/>
      <c r="K33" s="525"/>
      <c r="L33" s="526"/>
      <c r="M33" s="525"/>
      <c r="N33" s="526"/>
      <c r="O33" s="526"/>
      <c r="P33" s="433"/>
    </row>
    <row r="34" spans="1:16" x14ac:dyDescent="0.35">
      <c r="D34" s="1214" t="s">
        <v>77</v>
      </c>
      <c r="E34" s="849" t="s">
        <v>78</v>
      </c>
      <c r="F34" s="867">
        <v>0.1</v>
      </c>
      <c r="G34" s="867">
        <v>0.1</v>
      </c>
      <c r="H34" s="867">
        <v>0.1</v>
      </c>
      <c r="I34" s="867">
        <v>0.1</v>
      </c>
      <c r="J34" s="867">
        <v>0.1</v>
      </c>
      <c r="K34" s="868">
        <v>0.1</v>
      </c>
      <c r="L34" s="867">
        <v>0.1</v>
      </c>
      <c r="M34" s="867">
        <v>0.1</v>
      </c>
      <c r="N34" s="867">
        <v>0.1</v>
      </c>
      <c r="O34" s="869">
        <v>0.1</v>
      </c>
      <c r="P34" s="773"/>
    </row>
    <row r="35" spans="1:16" x14ac:dyDescent="0.35">
      <c r="D35" s="1214" t="s">
        <v>79</v>
      </c>
      <c r="E35" s="849" t="s">
        <v>78</v>
      </c>
      <c r="F35" s="867">
        <v>0.1</v>
      </c>
      <c r="G35" s="867">
        <v>0.1</v>
      </c>
      <c r="H35" s="867">
        <v>0.1</v>
      </c>
      <c r="I35" s="867">
        <v>0.1</v>
      </c>
      <c r="J35" s="867">
        <v>0.1</v>
      </c>
      <c r="K35" s="868">
        <v>0.1</v>
      </c>
      <c r="L35" s="867">
        <v>0.1</v>
      </c>
      <c r="M35" s="867">
        <v>0.1</v>
      </c>
      <c r="N35" s="867">
        <v>0.1</v>
      </c>
      <c r="O35" s="869">
        <v>0.1</v>
      </c>
      <c r="P35" s="773"/>
    </row>
    <row r="36" spans="1:16" s="458" customFormat="1" x14ac:dyDescent="0.35">
      <c r="A36" s="728"/>
      <c r="B36" s="728"/>
      <c r="C36" s="728"/>
      <c r="D36" s="1214" t="s">
        <v>80</v>
      </c>
      <c r="E36" s="849" t="s">
        <v>81</v>
      </c>
      <c r="F36" s="870">
        <v>0.05</v>
      </c>
      <c r="G36" s="870">
        <v>0.05</v>
      </c>
      <c r="H36" s="870">
        <v>0.05</v>
      </c>
      <c r="I36" s="870">
        <v>0.05</v>
      </c>
      <c r="J36" s="870">
        <v>0.05</v>
      </c>
      <c r="K36" s="871">
        <v>0.05</v>
      </c>
      <c r="L36" s="870">
        <v>0.05</v>
      </c>
      <c r="M36" s="870">
        <v>0.05</v>
      </c>
      <c r="N36" s="870">
        <v>0.05</v>
      </c>
      <c r="O36" s="872">
        <v>0.05</v>
      </c>
      <c r="P36" s="774"/>
    </row>
    <row r="37" spans="1:16" s="458" customFormat="1" x14ac:dyDescent="0.35">
      <c r="A37" s="728"/>
      <c r="B37" s="728"/>
      <c r="C37" s="728"/>
      <c r="D37" s="1214" t="s">
        <v>82</v>
      </c>
      <c r="E37" s="849" t="s">
        <v>81</v>
      </c>
      <c r="F37" s="870">
        <v>0.01</v>
      </c>
      <c r="G37" s="870">
        <v>0.01</v>
      </c>
      <c r="H37" s="870">
        <v>0.01</v>
      </c>
      <c r="I37" s="870">
        <v>0.01</v>
      </c>
      <c r="J37" s="870">
        <v>0.01</v>
      </c>
      <c r="K37" s="871">
        <v>0.01</v>
      </c>
      <c r="L37" s="870">
        <v>0.01</v>
      </c>
      <c r="M37" s="870">
        <v>0.01</v>
      </c>
      <c r="N37" s="870">
        <v>0.01</v>
      </c>
      <c r="O37" s="872">
        <v>0.01</v>
      </c>
      <c r="P37" s="774"/>
    </row>
    <row r="38" spans="1:16" s="458" customFormat="1" x14ac:dyDescent="0.35">
      <c r="A38" s="728"/>
      <c r="B38" s="728"/>
      <c r="C38" s="728"/>
      <c r="D38" s="1214" t="s">
        <v>83</v>
      </c>
      <c r="E38" s="849" t="s">
        <v>81</v>
      </c>
      <c r="F38" s="870">
        <v>5.0000000000000001E-3</v>
      </c>
      <c r="G38" s="870">
        <v>5.0000000000000001E-3</v>
      </c>
      <c r="H38" s="870">
        <v>5.0000000000000001E-3</v>
      </c>
      <c r="I38" s="870">
        <v>5.0000000000000001E-3</v>
      </c>
      <c r="J38" s="870">
        <v>5.0000000000000001E-3</v>
      </c>
      <c r="K38" s="871">
        <v>5.0000000000000001E-3</v>
      </c>
      <c r="L38" s="870">
        <v>5.0000000000000001E-3</v>
      </c>
      <c r="M38" s="870">
        <v>5.0000000000000001E-3</v>
      </c>
      <c r="N38" s="870">
        <v>5.0000000000000001E-3</v>
      </c>
      <c r="O38" s="872">
        <v>5.0000000000000001E-3</v>
      </c>
      <c r="P38" s="774"/>
    </row>
    <row r="39" spans="1:16" ht="12.75" customHeight="1" x14ac:dyDescent="0.35">
      <c r="D39" s="1215" t="s">
        <v>144</v>
      </c>
      <c r="E39" s="873" t="s">
        <v>452</v>
      </c>
      <c r="F39" s="874">
        <v>0.08</v>
      </c>
      <c r="G39" s="874">
        <v>0.08</v>
      </c>
      <c r="H39" s="874">
        <v>0.08</v>
      </c>
      <c r="I39" s="874">
        <v>0.08</v>
      </c>
      <c r="J39" s="874">
        <v>0.08</v>
      </c>
      <c r="K39" s="875">
        <v>0.08</v>
      </c>
      <c r="L39" s="876">
        <v>0.08</v>
      </c>
      <c r="M39" s="876">
        <v>0.08</v>
      </c>
      <c r="N39" s="876">
        <v>0.08</v>
      </c>
      <c r="O39" s="877">
        <v>0.08</v>
      </c>
      <c r="P39" s="775"/>
    </row>
    <row r="40" spans="1:16" ht="14.25" customHeight="1" x14ac:dyDescent="0.35">
      <c r="D40" s="1215" t="s">
        <v>85</v>
      </c>
      <c r="E40" s="873" t="s">
        <v>10</v>
      </c>
      <c r="F40" s="874">
        <v>0.04</v>
      </c>
      <c r="G40" s="874">
        <v>0.04</v>
      </c>
      <c r="H40" s="874">
        <v>0.04</v>
      </c>
      <c r="I40" s="876">
        <v>0.04</v>
      </c>
      <c r="J40" s="874">
        <v>0.04</v>
      </c>
      <c r="K40" s="875">
        <v>0.04</v>
      </c>
      <c r="L40" s="876">
        <v>0.04</v>
      </c>
      <c r="M40" s="876">
        <v>0.04</v>
      </c>
      <c r="N40" s="876">
        <v>0.04</v>
      </c>
      <c r="O40" s="877">
        <v>0.04</v>
      </c>
      <c r="P40" s="775"/>
    </row>
    <row r="41" spans="1:16" x14ac:dyDescent="0.35">
      <c r="D41" s="1216" t="s">
        <v>86</v>
      </c>
      <c r="E41" s="878" t="s">
        <v>81</v>
      </c>
      <c r="F41" s="879">
        <v>7.6299654021787122E-2</v>
      </c>
      <c r="G41" s="879">
        <v>7.7123083059883357E-2</v>
      </c>
      <c r="H41" s="879">
        <v>7.7076166790628481E-2</v>
      </c>
      <c r="I41" s="876">
        <v>7.6776865891674803E-2</v>
      </c>
      <c r="J41" s="877">
        <v>7.5618574782115977E-2</v>
      </c>
      <c r="K41" s="880">
        <v>5.3139811152290981E-2</v>
      </c>
      <c r="L41" s="880">
        <v>5.3963292239454022E-2</v>
      </c>
      <c r="M41" s="880">
        <v>5.3954318666477666E-2</v>
      </c>
      <c r="N41" s="880">
        <v>5.3605138566388225E-2</v>
      </c>
      <c r="O41" s="881">
        <v>5.2617051092057804E-2</v>
      </c>
      <c r="P41" s="776"/>
    </row>
    <row r="42" spans="1:16" x14ac:dyDescent="0.35">
      <c r="D42" s="1217" t="s">
        <v>371</v>
      </c>
      <c r="E42" s="897" t="s">
        <v>10</v>
      </c>
      <c r="F42" s="908">
        <f>Control!$H$23</f>
        <v>5.8000000000000003E-2</v>
      </c>
      <c r="G42" s="908">
        <f>Control!$H$23</f>
        <v>5.8000000000000003E-2</v>
      </c>
      <c r="H42" s="908">
        <f>Control!$H$23</f>
        <v>5.8000000000000003E-2</v>
      </c>
      <c r="I42" s="908">
        <f>Control!$H$23</f>
        <v>5.8000000000000003E-2</v>
      </c>
      <c r="J42" s="909">
        <f>Control!$H$23</f>
        <v>5.8000000000000003E-2</v>
      </c>
      <c r="K42" s="908">
        <f>Control!$H$23</f>
        <v>5.8000000000000003E-2</v>
      </c>
      <c r="L42" s="908">
        <f>Control!$H$23</f>
        <v>5.8000000000000003E-2</v>
      </c>
      <c r="M42" s="908">
        <f>Control!$H$23</f>
        <v>5.8000000000000003E-2</v>
      </c>
      <c r="N42" s="908">
        <f>Control!$H$23</f>
        <v>5.8000000000000003E-2</v>
      </c>
      <c r="O42" s="909">
        <f>Control!$H$23</f>
        <v>5.8000000000000003E-2</v>
      </c>
      <c r="P42" s="460"/>
    </row>
    <row r="43" spans="1:16" ht="12.75" customHeight="1" x14ac:dyDescent="0.35">
      <c r="D43" s="1218" t="s">
        <v>87</v>
      </c>
      <c r="E43" s="898" t="s">
        <v>516</v>
      </c>
      <c r="F43" s="545">
        <f>F44*(F$13*1000)/10^6</f>
        <v>21.416126504321642</v>
      </c>
      <c r="G43" s="545">
        <f>G44*(G$13*1000)/10^6</f>
        <v>21.565028018407833</v>
      </c>
      <c r="H43" s="545">
        <f>H44*(H$13*1000)/10^6</f>
        <v>21.135870240474397</v>
      </c>
      <c r="I43" s="545">
        <f t="shared" ref="I43:J43" si="0">I44*(I$13*1000)/10^6</f>
        <v>20.93137664128334</v>
      </c>
      <c r="J43" s="546">
        <f t="shared" si="0"/>
        <v>21.457014291596412</v>
      </c>
      <c r="K43" s="545">
        <f>K44*(K$17*1000)/10^6</f>
        <v>70.466985587483023</v>
      </c>
      <c r="L43" s="545">
        <f t="shared" ref="L43:O43" si="1">L44*(L$17*1000)/10^6</f>
        <v>70.476551580495169</v>
      </c>
      <c r="M43" s="545">
        <f t="shared" si="1"/>
        <v>69.757626208519554</v>
      </c>
      <c r="N43" s="545">
        <f t="shared" si="1"/>
        <v>69.069694653903269</v>
      </c>
      <c r="O43" s="546">
        <f t="shared" si="1"/>
        <v>70.722752909219182</v>
      </c>
      <c r="P43" s="461"/>
    </row>
    <row r="44" spans="1:16" ht="12.75" customHeight="1" x14ac:dyDescent="0.35">
      <c r="D44" s="1219" t="s">
        <v>373</v>
      </c>
      <c r="E44" s="1031" t="s">
        <v>517</v>
      </c>
      <c r="F44" s="1032">
        <v>54.662817212257821</v>
      </c>
      <c r="G44" s="1033">
        <v>54.662817212257821</v>
      </c>
      <c r="H44" s="1033">
        <v>54.662817212257821</v>
      </c>
      <c r="I44" s="1033">
        <v>54.662817212257821</v>
      </c>
      <c r="J44" s="1034">
        <v>54.662817212257821</v>
      </c>
      <c r="K44" s="1033">
        <v>54.662817212257821</v>
      </c>
      <c r="L44" s="1033">
        <v>54.662817212257821</v>
      </c>
      <c r="M44" s="1033">
        <v>54.662817212257821</v>
      </c>
      <c r="N44" s="1033">
        <v>54.662817212257821</v>
      </c>
      <c r="O44" s="1034">
        <v>54.662817212257821</v>
      </c>
      <c r="P44" s="462"/>
    </row>
    <row r="45" spans="1:16" ht="12.75" customHeight="1" x14ac:dyDescent="0.35">
      <c r="D45" s="1218" t="s">
        <v>88</v>
      </c>
      <c r="E45" s="898" t="s">
        <v>516</v>
      </c>
      <c r="F45" s="551">
        <f>F46*F47</f>
        <v>34.520407784554124</v>
      </c>
      <c r="G45" s="551">
        <f t="shared" ref="G45:K45" si="2">G46*G47</f>
        <v>34.520407784554124</v>
      </c>
      <c r="H45" s="551">
        <f t="shared" si="2"/>
        <v>34.520407784554124</v>
      </c>
      <c r="I45" s="551">
        <f t="shared" si="2"/>
        <v>34.520407784554124</v>
      </c>
      <c r="J45" s="581">
        <f t="shared" si="2"/>
        <v>34.520407784554124</v>
      </c>
      <c r="K45" s="547">
        <f t="shared" si="2"/>
        <v>48.388520170698392</v>
      </c>
      <c r="L45" s="581">
        <f t="shared" ref="L45" si="3">L46*L47</f>
        <v>48.388520170698392</v>
      </c>
      <c r="M45" s="581">
        <f t="shared" ref="M45" si="4">M46*M47</f>
        <v>48.388520170698392</v>
      </c>
      <c r="N45" s="581">
        <f t="shared" ref="N45" si="5">N46*N47</f>
        <v>48.388520170698392</v>
      </c>
      <c r="O45" s="552">
        <f t="shared" ref="O45" si="6">O46*O47</f>
        <v>48.388520170698392</v>
      </c>
      <c r="P45" s="463"/>
    </row>
    <row r="46" spans="1:16" ht="12.75" customHeight="1" x14ac:dyDescent="0.35">
      <c r="D46" s="1220" t="s">
        <v>453</v>
      </c>
      <c r="E46" s="898" t="s">
        <v>518</v>
      </c>
      <c r="F46" s="899">
        <v>6.9040815569108247</v>
      </c>
      <c r="G46" s="899">
        <v>6.9040815569108247</v>
      </c>
      <c r="H46" s="899">
        <v>6.9040815569108247</v>
      </c>
      <c r="I46" s="899">
        <v>6.9040815569108247</v>
      </c>
      <c r="J46" s="900">
        <v>6.9040815569108247</v>
      </c>
      <c r="K46" s="899">
        <v>9.6777040341396781</v>
      </c>
      <c r="L46" s="899">
        <v>9.6777040341396781</v>
      </c>
      <c r="M46" s="899">
        <v>9.6777040341396781</v>
      </c>
      <c r="N46" s="899">
        <v>9.6777040341396781</v>
      </c>
      <c r="O46" s="900">
        <v>9.6777040341396781</v>
      </c>
      <c r="P46" s="777"/>
    </row>
    <row r="47" spans="1:16" ht="12.75" customHeight="1" x14ac:dyDescent="0.35">
      <c r="D47" s="1220" t="s">
        <v>454</v>
      </c>
      <c r="E47" s="898" t="s">
        <v>89</v>
      </c>
      <c r="F47" s="901">
        <v>5</v>
      </c>
      <c r="G47" s="901">
        <v>5</v>
      </c>
      <c r="H47" s="901">
        <v>5</v>
      </c>
      <c r="I47" s="901">
        <v>5</v>
      </c>
      <c r="J47" s="902">
        <v>5</v>
      </c>
      <c r="K47" s="1035">
        <v>5</v>
      </c>
      <c r="L47" s="901">
        <v>5</v>
      </c>
      <c r="M47" s="901">
        <v>5</v>
      </c>
      <c r="N47" s="901">
        <v>5</v>
      </c>
      <c r="O47" s="902">
        <v>5</v>
      </c>
      <c r="P47" s="778"/>
    </row>
    <row r="48" spans="1:16" ht="12.75" customHeight="1" x14ac:dyDescent="0.35">
      <c r="D48" s="1218" t="s">
        <v>90</v>
      </c>
      <c r="E48" s="903" t="s">
        <v>302</v>
      </c>
      <c r="F48" s="547">
        <f>F$49*F$50</f>
        <v>1064168.542939852</v>
      </c>
      <c r="G48" s="581">
        <f t="shared" ref="G48:O48" si="7">G$49*G$50</f>
        <v>1001816.6089965397</v>
      </c>
      <c r="H48" s="581">
        <f t="shared" si="7"/>
        <v>430989.0725693471</v>
      </c>
      <c r="I48" s="581">
        <f t="shared" si="7"/>
        <v>918266.35090896441</v>
      </c>
      <c r="J48" s="552">
        <f t="shared" si="7"/>
        <v>1179242.104157917</v>
      </c>
      <c r="K48" s="581">
        <f t="shared" si="7"/>
        <v>6385011.257639112</v>
      </c>
      <c r="L48" s="581">
        <f t="shared" si="7"/>
        <v>6010899.6539792381</v>
      </c>
      <c r="M48" s="581">
        <f t="shared" si="7"/>
        <v>2585934.4354160829</v>
      </c>
      <c r="N48" s="581">
        <f t="shared" si="7"/>
        <v>5509598.1054537864</v>
      </c>
      <c r="O48" s="552">
        <f t="shared" si="7"/>
        <v>7075452.6249475013</v>
      </c>
      <c r="P48" s="463"/>
    </row>
    <row r="49" spans="4:16" ht="12.75" customHeight="1" x14ac:dyDescent="0.35">
      <c r="D49" s="1219" t="s">
        <v>376</v>
      </c>
      <c r="E49" s="903" t="s">
        <v>377</v>
      </c>
      <c r="F49" s="553">
        <f>_xlfn.XLOOKUP(F$7,'Land Cost'!$D$12:$D$16,'Land Cost'!$G$12:$G$16)</f>
        <v>106416.85429398521</v>
      </c>
      <c r="G49" s="577">
        <f>_xlfn.XLOOKUP(G$7,'Land Cost'!$D$12:$D$16,'Land Cost'!$G$12:$G$16)</f>
        <v>100181.66089965397</v>
      </c>
      <c r="H49" s="577">
        <f>_xlfn.XLOOKUP(H$7,'Land Cost'!$D$12:$D$16,'Land Cost'!$G$12:$G$16)</f>
        <v>43098.907256934712</v>
      </c>
      <c r="I49" s="577">
        <f>_xlfn.XLOOKUP(I$7,'Land Cost'!$D$12:$D$16,'Land Cost'!$G$12:$G$16)</f>
        <v>91826.635090896438</v>
      </c>
      <c r="J49" s="554">
        <f>_xlfn.XLOOKUP(J$7,'Land Cost'!$D$12:$D$16,'Land Cost'!$G$12:$G$16)</f>
        <v>117924.21041579169</v>
      </c>
      <c r="K49" s="577">
        <f>_xlfn.XLOOKUP(K$7,'Land Cost'!$D$12:$D$16,'Land Cost'!$G$12:$G$16)</f>
        <v>106416.85429398521</v>
      </c>
      <c r="L49" s="577">
        <f>_xlfn.XLOOKUP(L$7,'Land Cost'!$D$12:$D$16,'Land Cost'!$G$12:$G$16)</f>
        <v>100181.66089965397</v>
      </c>
      <c r="M49" s="577">
        <f>_xlfn.XLOOKUP(M$7,'Land Cost'!$D$12:$D$16,'Land Cost'!$G$12:$G$16)</f>
        <v>43098.907256934712</v>
      </c>
      <c r="N49" s="577">
        <f>_xlfn.XLOOKUP(N$7,'Land Cost'!$D$12:$D$16,'Land Cost'!$G$12:$G$16)</f>
        <v>91826.635090896438</v>
      </c>
      <c r="O49" s="554">
        <f>_xlfn.XLOOKUP(O$7,'Land Cost'!$D$12:$D$16,'Land Cost'!$G$12:$G$16)</f>
        <v>117924.21041579169</v>
      </c>
      <c r="P49" s="779"/>
    </row>
    <row r="50" spans="4:16" ht="12.75" customHeight="1" x14ac:dyDescent="0.35">
      <c r="D50" s="1221" t="s">
        <v>91</v>
      </c>
      <c r="E50" s="882" t="s">
        <v>92</v>
      </c>
      <c r="F50" s="630">
        <v>10</v>
      </c>
      <c r="G50" s="630">
        <v>10</v>
      </c>
      <c r="H50" s="630">
        <v>10</v>
      </c>
      <c r="I50" s="630">
        <v>10</v>
      </c>
      <c r="J50" s="814">
        <v>10</v>
      </c>
      <c r="K50" s="1044">
        <v>60</v>
      </c>
      <c r="L50" s="630">
        <v>60</v>
      </c>
      <c r="M50" s="630">
        <v>60</v>
      </c>
      <c r="N50" s="630">
        <v>60</v>
      </c>
      <c r="O50" s="814">
        <v>60</v>
      </c>
      <c r="P50" s="780"/>
    </row>
    <row r="51" spans="4:16" ht="12.75" customHeight="1" x14ac:dyDescent="0.35">
      <c r="D51" s="1217" t="s">
        <v>378</v>
      </c>
      <c r="E51" s="897" t="s">
        <v>10</v>
      </c>
      <c r="F51" s="1082">
        <f>_xlfn.XLOOKUP(F$7,'Working Cap and Tax Rates'!$G$16:$K$16,'Working Cap and Tax Rates'!$G$21:$K$21)</f>
        <v>0</v>
      </c>
      <c r="G51" s="1083">
        <f>_xlfn.XLOOKUP(G$7,'Working Cap and Tax Rates'!$G$16:$K$16,'Working Cap and Tax Rates'!$G$21:$K$21)</f>
        <v>0</v>
      </c>
      <c r="H51" s="1083">
        <f>_xlfn.XLOOKUP(H$7,'Working Cap and Tax Rates'!$G$16:$K$16,'Working Cap and Tax Rates'!$G$21:$K$21)</f>
        <v>0</v>
      </c>
      <c r="I51" s="1083">
        <f>_xlfn.XLOOKUP(I$7,'Working Cap and Tax Rates'!$G$16:$K$16,'Working Cap and Tax Rates'!$G$21:$K$21)</f>
        <v>0</v>
      </c>
      <c r="J51" s="1083">
        <f>_xlfn.XLOOKUP(J$7,'Working Cap and Tax Rates'!$G$16:$K$16,'Working Cap and Tax Rates'!$G$21:$K$21)</f>
        <v>6.25E-2</v>
      </c>
      <c r="K51" s="1082">
        <f>_xlfn.XLOOKUP(K$7,'Working Cap and Tax Rates'!$G$16:$K$16,'Working Cap and Tax Rates'!$G$21:$K$21)</f>
        <v>0</v>
      </c>
      <c r="L51" s="1083">
        <f>_xlfn.XLOOKUP(L$7,'Working Cap and Tax Rates'!$G$16:$K$16,'Working Cap and Tax Rates'!$G$21:$K$21)</f>
        <v>0</v>
      </c>
      <c r="M51" s="1083">
        <f>_xlfn.XLOOKUP(M$7,'Working Cap and Tax Rates'!$G$16:$K$16,'Working Cap and Tax Rates'!$G$21:$K$21)</f>
        <v>0</v>
      </c>
      <c r="N51" s="1083">
        <f>_xlfn.XLOOKUP(N$7,'Working Cap and Tax Rates'!$G$16:$K$16,'Working Cap and Tax Rates'!$G$21:$K$21)</f>
        <v>0</v>
      </c>
      <c r="O51" s="1084">
        <f>_xlfn.XLOOKUP(O$7,'Working Cap and Tax Rates'!$G$16:$K$16,'Working Cap and Tax Rates'!$G$21:$K$21)</f>
        <v>6.25E-2</v>
      </c>
      <c r="P51" s="466"/>
    </row>
    <row r="52" spans="4:16" ht="12.75" customHeight="1" x14ac:dyDescent="0.35">
      <c r="D52" s="1217" t="s">
        <v>379</v>
      </c>
      <c r="E52" s="897" t="s">
        <v>10</v>
      </c>
      <c r="F52" s="578">
        <f>_xlfn.XLOOKUP(F$7,'Working Cap and Tax Rates'!$G$16:$K$16,'Working Cap and Tax Rates'!$G$20:$K$20)</f>
        <v>0.09</v>
      </c>
      <c r="G52" s="579">
        <f>_xlfn.XLOOKUP(G$7,'Working Cap and Tax Rates'!$G$16:$K$16,'Working Cap and Tax Rates'!$G$20:$K$20)</f>
        <v>8.2500000000000004E-2</v>
      </c>
      <c r="H52" s="579">
        <f>_xlfn.XLOOKUP(H$7,'Working Cap and Tax Rates'!$G$16:$K$16,'Working Cap and Tax Rates'!$G$20:$K$20)</f>
        <v>7.9899999999999999E-2</v>
      </c>
      <c r="I52" s="579">
        <f>_xlfn.XLOOKUP(I$7,'Working Cap and Tax Rates'!$G$16:$K$16,'Working Cap and Tax Rates'!$G$20:$K$20)</f>
        <v>7.9899999999999999E-2</v>
      </c>
      <c r="J52" s="580">
        <f>_xlfn.XLOOKUP(J$7,'Working Cap and Tax Rates'!$G$16:$K$16,'Working Cap and Tax Rates'!$G$20:$K$20)</f>
        <v>9.5000000000000001E-2</v>
      </c>
      <c r="K52" s="579">
        <f>_xlfn.XLOOKUP(K$7,'Working Cap and Tax Rates'!$G$16:$K$16,'Working Cap and Tax Rates'!$G$20:$K$20)</f>
        <v>0.09</v>
      </c>
      <c r="L52" s="579">
        <f>_xlfn.XLOOKUP(L$7,'Working Cap and Tax Rates'!$G$16:$K$16,'Working Cap and Tax Rates'!$G$20:$K$20)</f>
        <v>8.2500000000000004E-2</v>
      </c>
      <c r="M52" s="579">
        <f>_xlfn.XLOOKUP(M$7,'Working Cap and Tax Rates'!$G$16:$K$16,'Working Cap and Tax Rates'!$G$20:$K$20)</f>
        <v>7.9899999999999999E-2</v>
      </c>
      <c r="N52" s="579">
        <f>_xlfn.XLOOKUP(N$7,'Working Cap and Tax Rates'!$G$16:$K$16,'Working Cap and Tax Rates'!$G$20:$K$20)</f>
        <v>7.9899999999999999E-2</v>
      </c>
      <c r="O52" s="580">
        <f>_xlfn.XLOOKUP(O$7,'Working Cap and Tax Rates'!$G$16:$K$16,'Working Cap and Tax Rates'!$G$20:$K$20)</f>
        <v>9.5000000000000001E-2</v>
      </c>
      <c r="P52" s="781"/>
    </row>
    <row r="53" spans="4:16" x14ac:dyDescent="0.35">
      <c r="D53" s="1222" t="s">
        <v>455</v>
      </c>
      <c r="E53" s="1258" t="s">
        <v>564</v>
      </c>
      <c r="F53" s="928">
        <f>F57*F56/10^6*F55</f>
        <v>3692399.3309631324</v>
      </c>
      <c r="G53" s="928">
        <f t="shared" ref="G53:O53" si="8">G57*G56/10^6*G55</f>
        <v>3714736.510703743</v>
      </c>
      <c r="H53" s="928">
        <f t="shared" si="8"/>
        <v>3598047.7085623853</v>
      </c>
      <c r="I53" s="928">
        <f t="shared" si="8"/>
        <v>3574807.6262103934</v>
      </c>
      <c r="J53" s="929">
        <f t="shared" si="8"/>
        <v>3642243.7600824395</v>
      </c>
      <c r="K53" s="928">
        <f t="shared" si="8"/>
        <v>0</v>
      </c>
      <c r="L53" s="928">
        <f t="shared" si="8"/>
        <v>0</v>
      </c>
      <c r="M53" s="928">
        <f t="shared" si="8"/>
        <v>0</v>
      </c>
      <c r="N53" s="928">
        <f t="shared" si="8"/>
        <v>0</v>
      </c>
      <c r="O53" s="929">
        <f t="shared" si="8"/>
        <v>0</v>
      </c>
      <c r="P53" s="782"/>
    </row>
    <row r="54" spans="4:16" ht="12.75" customHeight="1" x14ac:dyDescent="0.35">
      <c r="D54" s="1223" t="s">
        <v>456</v>
      </c>
      <c r="E54" s="849" t="s">
        <v>10</v>
      </c>
      <c r="F54" s="876">
        <v>1</v>
      </c>
      <c r="G54" s="876">
        <v>1</v>
      </c>
      <c r="H54" s="876">
        <v>1</v>
      </c>
      <c r="I54" s="876">
        <v>1</v>
      </c>
      <c r="J54" s="877">
        <v>1</v>
      </c>
      <c r="K54" s="537"/>
      <c r="L54" s="1037"/>
      <c r="M54" s="537"/>
      <c r="N54" s="537"/>
      <c r="O54" s="538"/>
      <c r="P54" s="459"/>
    </row>
    <row r="55" spans="4:16" ht="12.75" customHeight="1" x14ac:dyDescent="0.35">
      <c r="D55" s="1224" t="s">
        <v>457</v>
      </c>
      <c r="E55" s="904" t="s">
        <v>565</v>
      </c>
      <c r="F55" s="925">
        <v>14.619960000000001</v>
      </c>
      <c r="G55" s="926">
        <v>14.619960000000001</v>
      </c>
      <c r="H55" s="926">
        <v>14.619960000000001</v>
      </c>
      <c r="I55" s="926">
        <v>14.619960000000001</v>
      </c>
      <c r="J55" s="927">
        <v>14.619960000000001</v>
      </c>
      <c r="K55" s="910"/>
      <c r="L55" s="910"/>
      <c r="M55" s="910"/>
      <c r="N55" s="910"/>
      <c r="O55" s="911"/>
      <c r="P55" s="783"/>
    </row>
    <row r="56" spans="4:16" ht="12.75" customHeight="1" x14ac:dyDescent="0.35">
      <c r="D56" s="1223" t="s">
        <v>458</v>
      </c>
      <c r="E56" s="849" t="s">
        <v>459</v>
      </c>
      <c r="F56" s="1038">
        <v>140000</v>
      </c>
      <c r="G56" s="1038">
        <v>140000</v>
      </c>
      <c r="H56" s="1038">
        <v>140000</v>
      </c>
      <c r="I56" s="1038">
        <v>140000</v>
      </c>
      <c r="J56" s="1046">
        <v>140000</v>
      </c>
      <c r="K56" s="1039"/>
      <c r="L56" s="1039"/>
      <c r="M56" s="1039"/>
      <c r="N56" s="1039"/>
      <c r="O56" s="1040"/>
      <c r="P56" s="784"/>
    </row>
    <row r="57" spans="4:16" ht="12.75" customHeight="1" x14ac:dyDescent="0.35">
      <c r="D57" s="1223" t="s">
        <v>603</v>
      </c>
      <c r="E57" s="849" t="s">
        <v>460</v>
      </c>
      <c r="F57" s="1041">
        <v>1803991.3197745373</v>
      </c>
      <c r="G57" s="1038">
        <v>1814904.5701433143</v>
      </c>
      <c r="H57" s="1041">
        <v>1757894.0554861715</v>
      </c>
      <c r="I57" s="1041">
        <v>1746539.6750208</v>
      </c>
      <c r="J57" s="1047">
        <v>1779486.8698499659</v>
      </c>
      <c r="K57" s="1045"/>
      <c r="L57" s="1042"/>
      <c r="M57" s="1042"/>
      <c r="N57" s="1042"/>
      <c r="O57" s="1043"/>
      <c r="P57" s="785"/>
    </row>
    <row r="58" spans="4:16" ht="12.75" customHeight="1" x14ac:dyDescent="0.35">
      <c r="D58" s="1224" t="s">
        <v>457</v>
      </c>
      <c r="E58" s="904" t="s">
        <v>461</v>
      </c>
      <c r="F58" s="905">
        <f>F55/10^6*F56</f>
        <v>2.0467944</v>
      </c>
      <c r="G58" s="905">
        <f t="shared" ref="G58:J58" si="9">G55/10^6*G56</f>
        <v>2.0467944</v>
      </c>
      <c r="H58" s="905">
        <f t="shared" si="9"/>
        <v>2.0467944</v>
      </c>
      <c r="I58" s="905">
        <f t="shared" si="9"/>
        <v>2.0467944</v>
      </c>
      <c r="J58" s="905">
        <f t="shared" si="9"/>
        <v>2.0467944</v>
      </c>
      <c r="K58" s="906"/>
      <c r="L58" s="905"/>
      <c r="M58" s="905"/>
      <c r="N58" s="905"/>
      <c r="O58" s="907"/>
      <c r="P58" s="786"/>
    </row>
    <row r="59" spans="4:16" ht="12.75" customHeight="1" x14ac:dyDescent="0.35">
      <c r="D59" s="1222" t="s">
        <v>380</v>
      </c>
      <c r="E59" s="904"/>
      <c r="F59" s="557"/>
      <c r="G59" s="557"/>
      <c r="H59" s="557"/>
      <c r="I59" s="557"/>
      <c r="J59" s="558"/>
      <c r="K59" s="557"/>
      <c r="L59" s="557"/>
      <c r="M59" s="557"/>
      <c r="N59" s="557"/>
      <c r="O59" s="558"/>
      <c r="P59" s="468"/>
    </row>
    <row r="60" spans="4:16" ht="6" customHeight="1" x14ac:dyDescent="0.35">
      <c r="D60" s="1225"/>
      <c r="E60" s="787"/>
      <c r="F60" s="788"/>
      <c r="G60" s="788"/>
      <c r="H60" s="788"/>
      <c r="I60" s="471"/>
      <c r="J60" s="789"/>
      <c r="K60" s="788"/>
      <c r="L60" s="788"/>
      <c r="M60" s="788"/>
      <c r="N60" s="788"/>
      <c r="O60" s="789"/>
      <c r="P60" s="471"/>
    </row>
    <row r="61" spans="4:16" ht="6" customHeight="1" x14ac:dyDescent="0.35">
      <c r="D61" s="1226"/>
      <c r="E61" s="790"/>
      <c r="F61" s="791"/>
      <c r="G61" s="791"/>
      <c r="H61" s="791"/>
      <c r="I61" s="475"/>
      <c r="J61" s="472"/>
      <c r="K61" s="791"/>
      <c r="L61" s="791"/>
      <c r="M61" s="791"/>
      <c r="N61" s="471"/>
      <c r="O61" s="472"/>
      <c r="P61" s="471"/>
    </row>
    <row r="62" spans="4:16" ht="12.75" customHeight="1" x14ac:dyDescent="0.35">
      <c r="D62" s="527" t="s">
        <v>76</v>
      </c>
      <c r="E62" s="526"/>
      <c r="F62" s="525"/>
      <c r="G62" s="526"/>
      <c r="H62" s="525"/>
      <c r="I62" s="526"/>
      <c r="J62" s="528"/>
      <c r="K62" s="525"/>
      <c r="L62" s="526"/>
      <c r="M62" s="525"/>
      <c r="N62" s="526"/>
      <c r="O62" s="526"/>
      <c r="P62" s="433"/>
    </row>
    <row r="63" spans="4:16" ht="12.75" customHeight="1" x14ac:dyDescent="0.35">
      <c r="D63" s="1227" t="s">
        <v>462</v>
      </c>
      <c r="E63" s="849" t="s">
        <v>463</v>
      </c>
      <c r="F63" s="858">
        <v>507.28790931719999</v>
      </c>
      <c r="G63" s="858">
        <v>510.63529749899988</v>
      </c>
      <c r="H63" s="858">
        <v>495.83902447999998</v>
      </c>
      <c r="I63" s="858">
        <v>492.25915138399995</v>
      </c>
      <c r="J63" s="858">
        <v>502.47838606184916</v>
      </c>
      <c r="K63" s="857">
        <v>8909.0308198349794</v>
      </c>
      <c r="L63" s="858">
        <v>8961.5859001132376</v>
      </c>
      <c r="M63" s="858">
        <v>8732.6835811717046</v>
      </c>
      <c r="N63" s="858">
        <v>8678.0078943300559</v>
      </c>
      <c r="O63" s="859">
        <v>8840.7456643794867</v>
      </c>
      <c r="P63" s="35"/>
    </row>
    <row r="64" spans="4:16" x14ac:dyDescent="0.35">
      <c r="D64" s="1227" t="s">
        <v>93</v>
      </c>
      <c r="E64" s="883" t="s">
        <v>94</v>
      </c>
      <c r="F64" s="884">
        <v>6.0000000000000001E-3</v>
      </c>
      <c r="G64" s="884">
        <v>6.0000000000000001E-3</v>
      </c>
      <c r="H64" s="884">
        <v>6.0000000000000001E-3</v>
      </c>
      <c r="I64" s="884">
        <v>6.0000000000000001E-3</v>
      </c>
      <c r="J64" s="885">
        <v>6.0000000000000001E-3</v>
      </c>
      <c r="K64" s="884">
        <v>6.0000000000000001E-3</v>
      </c>
      <c r="L64" s="884">
        <v>6.0000000000000001E-3</v>
      </c>
      <c r="M64" s="884">
        <v>6.0000000000000001E-3</v>
      </c>
      <c r="N64" s="884">
        <v>6.0000000000000001E-3</v>
      </c>
      <c r="O64" s="885">
        <v>6.0000000000000001E-3</v>
      </c>
      <c r="P64" s="792"/>
    </row>
    <row r="65" spans="4:16" ht="6" customHeight="1" thickBot="1" x14ac:dyDescent="0.4">
      <c r="D65" s="1228"/>
      <c r="E65" s="479"/>
      <c r="F65" s="85"/>
      <c r="G65" s="85"/>
      <c r="H65" s="85"/>
      <c r="I65" s="85"/>
      <c r="J65" s="85"/>
      <c r="K65" s="85"/>
      <c r="L65" s="85"/>
      <c r="M65" s="85"/>
      <c r="N65" s="85"/>
      <c r="O65" s="479"/>
    </row>
    <row r="66" spans="4:16" ht="6" customHeight="1" thickTop="1" x14ac:dyDescent="0.35"/>
    <row r="67" spans="4:16" x14ac:dyDescent="0.35">
      <c r="D67" s="563" t="s">
        <v>381</v>
      </c>
    </row>
    <row r="68" spans="4:16" ht="29" x14ac:dyDescent="0.35">
      <c r="D68" s="565" t="s">
        <v>382</v>
      </c>
      <c r="F68" s="793"/>
      <c r="G68" s="793"/>
      <c r="H68" s="793"/>
      <c r="I68" s="793"/>
      <c r="J68" s="793"/>
    </row>
    <row r="69" spans="4:16" ht="12.75" customHeight="1" x14ac:dyDescent="0.35">
      <c r="D69" s="564" t="s">
        <v>383</v>
      </c>
      <c r="F69" s="793"/>
      <c r="G69" s="793"/>
      <c r="H69" s="793"/>
      <c r="I69" s="793"/>
      <c r="J69" s="793"/>
    </row>
    <row r="70" spans="4:16" ht="12.75" customHeight="1" x14ac:dyDescent="0.35">
      <c r="F70" s="793"/>
      <c r="G70" s="793"/>
      <c r="H70" s="793"/>
      <c r="I70" s="793"/>
      <c r="J70" s="793"/>
    </row>
    <row r="71" spans="4:16" ht="12.75" customHeight="1" x14ac:dyDescent="0.35"/>
    <row r="72" spans="4:16" ht="12.75" customHeight="1" x14ac:dyDescent="0.35">
      <c r="D72" s="28" t="s">
        <v>464</v>
      </c>
    </row>
    <row r="73" spans="4:16" ht="12.75" customHeight="1" x14ac:dyDescent="0.35">
      <c r="D73" s="28" t="s">
        <v>465</v>
      </c>
    </row>
    <row r="74" spans="4:16" ht="12.75" customHeight="1" x14ac:dyDescent="0.35">
      <c r="F74" s="794"/>
      <c r="G74" s="794"/>
      <c r="H74" s="794"/>
      <c r="I74" s="794"/>
      <c r="J74" s="795"/>
    </row>
    <row r="75" spans="4:16" ht="12.75" customHeight="1" x14ac:dyDescent="0.35">
      <c r="D75" s="527" t="s">
        <v>466</v>
      </c>
      <c r="E75" s="1230"/>
      <c r="F75" s="1229"/>
      <c r="G75" s="1230"/>
      <c r="H75" s="1229"/>
      <c r="I75" s="1230"/>
      <c r="J75" s="1230"/>
      <c r="K75" s="1229"/>
      <c r="L75" s="1230"/>
      <c r="M75" s="1229"/>
      <c r="N75" s="1230"/>
      <c r="O75" s="528"/>
      <c r="P75" s="433"/>
    </row>
    <row r="76" spans="4:16" ht="12.75" customHeight="1" x14ac:dyDescent="0.35">
      <c r="D76" s="1227" t="s">
        <v>467</v>
      </c>
      <c r="E76" s="849" t="s">
        <v>468</v>
      </c>
      <c r="F76" s="699">
        <v>1723733.0284799999</v>
      </c>
      <c r="G76" s="699">
        <v>1734770.9327999996</v>
      </c>
      <c r="H76" s="699">
        <v>1696535.9611200001</v>
      </c>
      <c r="I76" s="699">
        <v>1681592.0553600001</v>
      </c>
      <c r="J76" s="862">
        <v>1720806.2505600001</v>
      </c>
      <c r="K76" s="699">
        <v>6824004.0710399998</v>
      </c>
      <c r="L76" s="699">
        <v>6862754.0303999986</v>
      </c>
      <c r="M76" s="699">
        <v>6727053.7382399999</v>
      </c>
      <c r="N76" s="699">
        <v>6666820.2585599991</v>
      </c>
      <c r="O76" s="862">
        <v>6821084.7360000005</v>
      </c>
      <c r="P76" s="447"/>
    </row>
    <row r="77" spans="4:16" ht="12.75" customHeight="1" x14ac:dyDescent="0.35">
      <c r="D77" s="1227" t="s">
        <v>469</v>
      </c>
      <c r="E77" s="849" t="s">
        <v>470</v>
      </c>
      <c r="F77" s="699">
        <v>20</v>
      </c>
      <c r="G77" s="699">
        <v>20</v>
      </c>
      <c r="H77" s="699">
        <v>20</v>
      </c>
      <c r="I77" s="699">
        <v>20</v>
      </c>
      <c r="J77" s="862">
        <v>20</v>
      </c>
      <c r="K77" s="888">
        <v>40</v>
      </c>
      <c r="L77" s="888">
        <v>40</v>
      </c>
      <c r="M77" s="888">
        <v>40</v>
      </c>
      <c r="N77" s="888">
        <v>40</v>
      </c>
      <c r="O77" s="889">
        <v>40</v>
      </c>
      <c r="P77" s="796"/>
    </row>
    <row r="78" spans="4:16" ht="6" customHeight="1" x14ac:dyDescent="0.35">
      <c r="D78" s="1234"/>
      <c r="E78" s="890"/>
      <c r="F78" s="891"/>
      <c r="G78" s="891"/>
      <c r="H78" s="891"/>
      <c r="I78" s="891"/>
      <c r="J78" s="892"/>
      <c r="K78" s="891"/>
      <c r="L78" s="891"/>
      <c r="M78" s="891"/>
      <c r="N78" s="891"/>
      <c r="O78" s="892"/>
      <c r="P78" s="448"/>
    </row>
    <row r="79" spans="4:16" ht="6" customHeight="1" x14ac:dyDescent="0.35">
      <c r="D79" s="1213"/>
      <c r="E79" s="772"/>
      <c r="F79" s="448"/>
      <c r="G79" s="448"/>
      <c r="H79" s="448"/>
      <c r="I79" s="448"/>
      <c r="J79" s="451"/>
      <c r="K79" s="448"/>
      <c r="L79" s="448"/>
      <c r="M79" s="448"/>
      <c r="N79" s="448"/>
      <c r="O79" s="451"/>
      <c r="P79" s="448"/>
    </row>
    <row r="80" spans="4:16" ht="12.75" customHeight="1" x14ac:dyDescent="0.35">
      <c r="D80" s="527" t="s">
        <v>471</v>
      </c>
      <c r="E80" s="1230"/>
      <c r="F80" s="1229"/>
      <c r="G80" s="1230"/>
      <c r="H80" s="1229"/>
      <c r="I80" s="1230"/>
      <c r="J80" s="528"/>
      <c r="K80" s="1229"/>
      <c r="L80" s="1230"/>
      <c r="M80" s="1229"/>
      <c r="N80" s="1230"/>
      <c r="O80" s="528"/>
      <c r="P80" s="433"/>
    </row>
    <row r="81" spans="4:16" x14ac:dyDescent="0.35">
      <c r="D81" s="1227" t="s">
        <v>467</v>
      </c>
      <c r="E81" s="849" t="s">
        <v>468</v>
      </c>
      <c r="F81" s="699">
        <v>84186.26158947841</v>
      </c>
      <c r="G81" s="893">
        <v>84695.546606688004</v>
      </c>
      <c r="H81" s="699">
        <v>82035.055922688</v>
      </c>
      <c r="I81" s="699">
        <v>81505.184834304004</v>
      </c>
      <c r="J81" s="862">
        <v>83042.720592998405</v>
      </c>
      <c r="K81" s="515"/>
      <c r="L81" s="894"/>
      <c r="M81" s="515"/>
      <c r="N81" s="515"/>
      <c r="O81" s="516"/>
      <c r="P81" s="447"/>
    </row>
    <row r="82" spans="4:16" x14ac:dyDescent="0.35">
      <c r="D82" s="1227" t="s">
        <v>469</v>
      </c>
      <c r="E82" s="849" t="s">
        <v>470</v>
      </c>
      <c r="F82" s="888">
        <v>1</v>
      </c>
      <c r="G82" s="893">
        <v>1</v>
      </c>
      <c r="H82" s="699">
        <v>1</v>
      </c>
      <c r="I82" s="699">
        <v>1</v>
      </c>
      <c r="J82" s="862">
        <v>1</v>
      </c>
      <c r="K82" s="886"/>
      <c r="L82" s="894"/>
      <c r="M82" s="886"/>
      <c r="N82" s="886"/>
      <c r="O82" s="887"/>
      <c r="P82" s="797"/>
    </row>
    <row r="83" spans="4:16" ht="6" customHeight="1" x14ac:dyDescent="0.35">
      <c r="D83" s="1212"/>
      <c r="E83" s="768"/>
      <c r="F83" s="769"/>
      <c r="G83" s="769"/>
      <c r="H83" s="769"/>
      <c r="I83" s="769"/>
      <c r="J83" s="771"/>
      <c r="K83" s="769"/>
      <c r="L83" s="769"/>
      <c r="M83" s="769"/>
      <c r="N83" s="769"/>
      <c r="O83" s="771"/>
      <c r="P83" s="448"/>
    </row>
    <row r="84" spans="4:16" ht="6" customHeight="1" x14ac:dyDescent="0.35">
      <c r="D84" s="1213"/>
      <c r="E84" s="772"/>
      <c r="F84" s="448"/>
      <c r="G84" s="448"/>
      <c r="H84" s="448"/>
      <c r="I84" s="448"/>
      <c r="J84" s="451"/>
      <c r="K84" s="448"/>
      <c r="L84" s="448"/>
      <c r="M84" s="448"/>
      <c r="N84" s="448"/>
      <c r="O84" s="451"/>
      <c r="P84" s="448"/>
    </row>
    <row r="85" spans="4:16" x14ac:dyDescent="0.35">
      <c r="D85" s="527" t="s">
        <v>472</v>
      </c>
      <c r="E85" s="1230"/>
      <c r="F85" s="1229"/>
      <c r="G85" s="1230"/>
      <c r="H85" s="1229"/>
      <c r="I85" s="1230"/>
      <c r="J85" s="528"/>
      <c r="K85" s="1229"/>
      <c r="L85" s="1230"/>
      <c r="M85" s="1229"/>
      <c r="N85" s="1230"/>
      <c r="O85" s="528"/>
      <c r="P85" s="433"/>
    </row>
    <row r="86" spans="4:16" x14ac:dyDescent="0.35">
      <c r="D86" s="1235" t="s">
        <v>473</v>
      </c>
      <c r="E86" s="1231" t="s">
        <v>96</v>
      </c>
      <c r="F86" s="1232">
        <v>204755.25312000001</v>
      </c>
      <c r="G86" s="1232">
        <v>206106.3504</v>
      </c>
      <c r="H86" s="1232">
        <v>200068.83840000001</v>
      </c>
      <c r="I86" s="1232">
        <v>198602.7648</v>
      </c>
      <c r="J86" s="1233">
        <v>202703.75424000001</v>
      </c>
      <c r="K86" s="1232">
        <v>1150603.2000000002</v>
      </c>
      <c r="L86" s="1232">
        <v>1157480.6400000001</v>
      </c>
      <c r="M86" s="1232">
        <v>1125555.8399999999</v>
      </c>
      <c r="N86" s="1232">
        <v>1117679.04</v>
      </c>
      <c r="O86" s="1233">
        <v>1139616</v>
      </c>
      <c r="P86" s="35"/>
    </row>
    <row r="88" spans="4:16" x14ac:dyDescent="0.35">
      <c r="F88" s="798"/>
      <c r="G88" s="798"/>
      <c r="H88" s="798"/>
      <c r="I88" s="798"/>
      <c r="J88" s="798"/>
      <c r="K88" s="798"/>
      <c r="L88" s="798"/>
      <c r="M88" s="798"/>
      <c r="N88" s="798"/>
      <c r="O88" s="799"/>
      <c r="P88" s="800"/>
    </row>
  </sheetData>
  <conditionalFormatting sqref="F40:F42 G42:O42 F51:O51">
    <cfRule type="expression" dxfId="15" priority="27" stopIfTrue="1">
      <formula>MOD(#REF!,2)=1</formula>
    </cfRule>
  </conditionalFormatting>
  <conditionalFormatting sqref="F50">
    <cfRule type="expression" dxfId="14" priority="26" stopIfTrue="1">
      <formula>MOD(#REF!,2)=1</formula>
    </cfRule>
  </conditionalFormatting>
  <conditionalFormatting sqref="F48:J49">
    <cfRule type="expression" dxfId="13" priority="6" stopIfTrue="1">
      <formula>MOD(#REF!,2)=1</formula>
    </cfRule>
  </conditionalFormatting>
  <conditionalFormatting sqref="F52:O52">
    <cfRule type="expression" dxfId="12" priority="8" stopIfTrue="1">
      <formula>MOD(#REF!,2)=1</formula>
    </cfRule>
  </conditionalFormatting>
  <conditionalFormatting sqref="G48:P50 K13:P13 K14:N14 K15:P17 K18:N18 K19:P20 K24:P24 K26:N26 K30:P32 F39:P39 G40:P41 F44:P44 F46:P47 K78:P79 K83:P84">
    <cfRule type="expression" dxfId="11" priority="10" stopIfTrue="1">
      <formula>MOD(#REF!,2)=1</formula>
    </cfRule>
  </conditionalFormatting>
  <conditionalFormatting sqref="P42">
    <cfRule type="expression" dxfId="10" priority="14" stopIfTrue="1">
      <formula>MOD(#REF!,2)=1</formula>
    </cfRule>
  </conditionalFormatting>
  <conditionalFormatting sqref="P51:P52">
    <cfRule type="expression" dxfId="9" priority="23" stopIfTrue="1">
      <formula>MOD(#REF!,2)=1</formula>
    </cfRule>
  </conditionalFormatting>
  <pageMargins left="0.7" right="0.7" top="0.75" bottom="0.75" header="0.3" footer="0.3"/>
  <pageSetup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0975-891A-4058-9C02-91C820266420}">
  <sheetPr codeName="Sheet43">
    <pageSetUpPr fitToPage="1"/>
  </sheetPr>
  <dimension ref="A1:U80"/>
  <sheetViews>
    <sheetView showGridLines="0" zoomScale="70" zoomScaleNormal="70" workbookViewId="0"/>
  </sheetViews>
  <sheetFormatPr defaultColWidth="9.1796875" defaultRowHeight="14.5" x14ac:dyDescent="0.35"/>
  <cols>
    <col min="1" max="3" width="13.54296875" style="728" customWidth="1"/>
    <col min="4" max="4" width="39.453125" style="28" customWidth="1"/>
    <col min="5" max="5" width="28.1796875" style="28" bestFit="1" customWidth="1"/>
    <col min="6" max="6" width="1.54296875" style="28" customWidth="1"/>
    <col min="7" max="11" width="19.54296875" style="28" customWidth="1"/>
    <col min="12" max="16" width="18.81640625" style="28" customWidth="1"/>
    <col min="17" max="16384" width="9.1796875" style="28"/>
  </cols>
  <sheetData>
    <row r="1" spans="1:16" customFormat="1" ht="15" customHeight="1" x14ac:dyDescent="0.35">
      <c r="A1" s="81" t="s">
        <v>275</v>
      </c>
    </row>
    <row r="2" spans="1:16" customFormat="1" ht="15" customHeight="1" x14ac:dyDescent="0.35"/>
    <row r="3" spans="1:16" ht="15" customHeight="1" x14ac:dyDescent="0.35">
      <c r="A3" s="28"/>
      <c r="B3" s="28"/>
      <c r="C3" s="28"/>
      <c r="D3" s="88" t="str">
        <f>LEFT($D4, FIND(":",$D4)-1)</f>
        <v>Table C8</v>
      </c>
    </row>
    <row r="4" spans="1:16" ht="15" customHeight="1" x14ac:dyDescent="0.35">
      <c r="A4" s="28"/>
      <c r="B4" s="28"/>
      <c r="C4" s="28"/>
      <c r="D4" s="86" t="str">
        <f>ToC!$J$47</f>
        <v>Table C8: CC + CT Capital Costs</v>
      </c>
    </row>
    <row r="5" spans="1:16" ht="6" customHeight="1" thickBot="1" x14ac:dyDescent="0.4">
      <c r="D5" s="85"/>
      <c r="E5" s="85"/>
      <c r="F5" s="85"/>
      <c r="L5" s="85"/>
      <c r="M5" s="85"/>
      <c r="N5" s="85"/>
      <c r="O5" s="85"/>
      <c r="P5" s="85"/>
    </row>
    <row r="6" spans="1:16" ht="6" customHeight="1" thickTop="1" x14ac:dyDescent="0.35">
      <c r="D6" s="716"/>
      <c r="E6" s="452"/>
      <c r="F6" s="452"/>
      <c r="G6" s="714"/>
      <c r="H6" s="417"/>
      <c r="I6" s="417"/>
      <c r="J6" s="417"/>
      <c r="K6" s="715"/>
      <c r="L6" s="716"/>
      <c r="M6" s="717"/>
      <c r="N6" s="717"/>
      <c r="O6" s="717"/>
      <c r="P6" s="718"/>
    </row>
    <row r="7" spans="1:16" ht="12.75" customHeight="1" x14ac:dyDescent="0.35">
      <c r="D7" s="1236" t="s">
        <v>24</v>
      </c>
      <c r="E7" s="584"/>
      <c r="F7" s="585"/>
      <c r="G7" s="2211" t="s">
        <v>561</v>
      </c>
      <c r="H7" s="2212"/>
      <c r="I7" s="2212"/>
      <c r="J7" s="2212"/>
      <c r="K7" s="2213"/>
      <c r="L7" s="2214" t="s">
        <v>561</v>
      </c>
      <c r="M7" s="2215"/>
      <c r="N7" s="2215"/>
      <c r="O7" s="2215"/>
      <c r="P7" s="2216"/>
    </row>
    <row r="8" spans="1:16" x14ac:dyDescent="0.35">
      <c r="D8" s="1236" t="s">
        <v>98</v>
      </c>
      <c r="E8" s="586" t="s">
        <v>414</v>
      </c>
      <c r="F8" s="585"/>
      <c r="G8" s="719" t="s">
        <v>288</v>
      </c>
      <c r="H8" s="720" t="s">
        <v>289</v>
      </c>
      <c r="I8" s="720" t="s">
        <v>290</v>
      </c>
      <c r="J8" s="720" t="s">
        <v>291</v>
      </c>
      <c r="K8" s="721" t="s">
        <v>299</v>
      </c>
      <c r="L8" s="1011" t="s">
        <v>288</v>
      </c>
      <c r="M8" s="1004" t="s">
        <v>289</v>
      </c>
      <c r="N8" s="1004" t="s">
        <v>290</v>
      </c>
      <c r="O8" s="1004" t="s">
        <v>291</v>
      </c>
      <c r="P8" s="1012" t="s">
        <v>299</v>
      </c>
    </row>
    <row r="9" spans="1:16" ht="45.75" customHeight="1" x14ac:dyDescent="0.35">
      <c r="D9" s="1236" t="s">
        <v>1</v>
      </c>
      <c r="E9" s="587" t="s">
        <v>385</v>
      </c>
      <c r="F9" s="584"/>
      <c r="G9" s="588" t="s">
        <v>354</v>
      </c>
      <c r="H9" s="425" t="s">
        <v>354</v>
      </c>
      <c r="I9" s="425" t="s">
        <v>354</v>
      </c>
      <c r="J9" s="425" t="s">
        <v>354</v>
      </c>
      <c r="K9" s="722" t="s">
        <v>354</v>
      </c>
      <c r="L9" s="422" t="s">
        <v>415</v>
      </c>
      <c r="M9" s="423" t="s">
        <v>415</v>
      </c>
      <c r="N9" s="423" t="s">
        <v>415</v>
      </c>
      <c r="O9" s="423" t="s">
        <v>415</v>
      </c>
      <c r="P9" s="424" t="s">
        <v>415</v>
      </c>
    </row>
    <row r="10" spans="1:16" ht="14.5" customHeight="1" x14ac:dyDescent="0.35">
      <c r="D10" s="1236" t="s">
        <v>416</v>
      </c>
      <c r="E10" s="589"/>
      <c r="F10" s="590"/>
      <c r="G10" s="623">
        <f>'S&amp;L CC+CT - Cost Assumptions'!F13</f>
        <v>391.786</v>
      </c>
      <c r="H10" s="624">
        <f>'S&amp;L CC+CT - Cost Assumptions'!G13</f>
        <v>394.51</v>
      </c>
      <c r="I10" s="624">
        <f>'S&amp;L CC+CT - Cost Assumptions'!H13</f>
        <v>386.65899999999999</v>
      </c>
      <c r="J10" s="624">
        <f>'S&amp;L CC+CT - Cost Assumptions'!I13</f>
        <v>382.91800000000001</v>
      </c>
      <c r="K10" s="801">
        <f>'S&amp;L CC+CT - Cost Assumptions'!J13</f>
        <v>392.53399999999999</v>
      </c>
      <c r="L10" s="917">
        <f>'S&amp;L CC+CT - Cost Assumptions'!K$17</f>
        <v>1289.1210000000001</v>
      </c>
      <c r="M10" s="918">
        <f>'S&amp;L CC+CT - Cost Assumptions'!L$17</f>
        <v>1289.296</v>
      </c>
      <c r="N10" s="918">
        <f>'S&amp;L CC+CT - Cost Assumptions'!M$17</f>
        <v>1276.144</v>
      </c>
      <c r="O10" s="918">
        <f>'S&amp;L CC+CT - Cost Assumptions'!N$17</f>
        <v>1263.559</v>
      </c>
      <c r="P10" s="919">
        <f>'S&amp;L CC+CT - Cost Assumptions'!O$17</f>
        <v>1293.8</v>
      </c>
    </row>
    <row r="11" spans="1:16" ht="6" customHeight="1" x14ac:dyDescent="0.35">
      <c r="D11" s="1237"/>
      <c r="E11" s="591"/>
      <c r="F11" s="591"/>
      <c r="G11" s="719"/>
      <c r="H11" s="720"/>
      <c r="I11" s="720"/>
      <c r="J11" s="720"/>
      <c r="K11" s="721"/>
      <c r="L11" s="719"/>
      <c r="M11" s="720"/>
      <c r="N11" s="720"/>
      <c r="O11" s="720"/>
      <c r="P11" s="721"/>
    </row>
    <row r="12" spans="1:16" ht="6" customHeight="1" x14ac:dyDescent="0.35">
      <c r="D12" s="1238"/>
      <c r="E12" s="590"/>
      <c r="F12" s="590"/>
      <c r="G12" s="427"/>
      <c r="H12" s="428"/>
      <c r="I12" s="428"/>
      <c r="J12" s="428"/>
      <c r="K12" s="429"/>
      <c r="L12" s="427"/>
      <c r="M12" s="428"/>
      <c r="N12" s="428"/>
      <c r="O12" s="428"/>
      <c r="P12" s="429"/>
    </row>
    <row r="13" spans="1:16" x14ac:dyDescent="0.35">
      <c r="D13" s="527" t="s">
        <v>390</v>
      </c>
      <c r="E13" s="526"/>
      <c r="F13" s="525"/>
      <c r="G13" s="649"/>
      <c r="H13" s="650"/>
      <c r="I13" s="650"/>
      <c r="J13" s="650"/>
      <c r="K13" s="829"/>
      <c r="L13" s="830"/>
      <c r="M13" s="831"/>
      <c r="N13" s="831"/>
      <c r="O13" s="831"/>
      <c r="P13" s="832"/>
    </row>
    <row r="14" spans="1:16" ht="6" customHeight="1" x14ac:dyDescent="0.35">
      <c r="D14" s="1239"/>
      <c r="F14" s="593"/>
      <c r="G14" s="594"/>
      <c r="H14" s="585"/>
      <c r="I14" s="585"/>
      <c r="J14" s="585"/>
      <c r="K14" s="723"/>
      <c r="L14" s="595"/>
      <c r="M14" s="724"/>
      <c r="N14" s="724"/>
      <c r="O14" s="724"/>
      <c r="P14" s="725"/>
    </row>
    <row r="15" spans="1:16" x14ac:dyDescent="0.35">
      <c r="D15" s="1239" t="s">
        <v>417</v>
      </c>
      <c r="E15" s="593"/>
      <c r="F15" s="606"/>
      <c r="G15" s="600"/>
      <c r="H15" s="618"/>
      <c r="I15" s="618"/>
      <c r="J15" s="618"/>
      <c r="K15" s="726"/>
      <c r="L15" s="600"/>
      <c r="M15" s="618"/>
      <c r="N15" s="618"/>
      <c r="O15" s="618"/>
      <c r="P15" s="726"/>
    </row>
    <row r="16" spans="1:16" ht="15" customHeight="1" x14ac:dyDescent="0.35">
      <c r="D16" s="1240" t="s">
        <v>418</v>
      </c>
      <c r="E16" s="802"/>
      <c r="F16" s="803"/>
      <c r="G16" s="804">
        <v>158000000</v>
      </c>
      <c r="H16" s="805">
        <v>158000000</v>
      </c>
      <c r="I16" s="805">
        <v>158000000</v>
      </c>
      <c r="J16" s="805">
        <v>158000000</v>
      </c>
      <c r="K16" s="805">
        <v>158000000</v>
      </c>
      <c r="L16" s="804">
        <v>299000000</v>
      </c>
      <c r="M16" s="805">
        <v>299000000</v>
      </c>
      <c r="N16" s="805">
        <v>299000000</v>
      </c>
      <c r="O16" s="805">
        <v>299000000</v>
      </c>
      <c r="P16" s="806">
        <v>299000000</v>
      </c>
    </row>
    <row r="17" spans="1:16" x14ac:dyDescent="0.35">
      <c r="D17" s="1240" t="s">
        <v>419</v>
      </c>
      <c r="E17" s="802"/>
      <c r="F17" s="803"/>
      <c r="G17" s="804">
        <v>53000000</v>
      </c>
      <c r="H17" s="805">
        <v>53000000</v>
      </c>
      <c r="I17" s="805">
        <v>53000000</v>
      </c>
      <c r="J17" s="805">
        <v>53000000</v>
      </c>
      <c r="K17" s="805">
        <v>53000000</v>
      </c>
      <c r="L17" s="804">
        <v>121000000</v>
      </c>
      <c r="M17" s="805">
        <v>121000000</v>
      </c>
      <c r="N17" s="805">
        <v>121000000</v>
      </c>
      <c r="O17" s="805">
        <v>121000000</v>
      </c>
      <c r="P17" s="806">
        <v>121000000</v>
      </c>
    </row>
    <row r="18" spans="1:16" x14ac:dyDescent="0.35">
      <c r="D18" s="1214" t="s">
        <v>420</v>
      </c>
      <c r="E18" s="802"/>
      <c r="F18" s="626"/>
      <c r="G18" s="502"/>
      <c r="H18" s="807"/>
      <c r="I18" s="503"/>
      <c r="J18" s="503"/>
      <c r="K18" s="503"/>
      <c r="L18" s="627">
        <v>127000000</v>
      </c>
      <c r="M18" s="628">
        <v>127000000</v>
      </c>
      <c r="N18" s="628">
        <v>127000000</v>
      </c>
      <c r="O18" s="628">
        <v>127000000</v>
      </c>
      <c r="P18" s="808">
        <v>127000000</v>
      </c>
    </row>
    <row r="19" spans="1:16" x14ac:dyDescent="0.35">
      <c r="D19" s="1241" t="s">
        <v>99</v>
      </c>
      <c r="E19" s="635"/>
      <c r="F19" s="815"/>
      <c r="G19" s="637">
        <f>(G$16+G$17)*'S&amp;L CC+CT - Cost Assumptions'!F$51</f>
        <v>0</v>
      </c>
      <c r="H19" s="638">
        <f>(H$16+H$17)*'S&amp;L CC+CT - Cost Assumptions'!G$51</f>
        <v>0</v>
      </c>
      <c r="I19" s="638">
        <f>(I$16+I$17)*'S&amp;L CC+CT - Cost Assumptions'!H$51</f>
        <v>0</v>
      </c>
      <c r="J19" s="638">
        <f>(J$16+J$17)*'S&amp;L CC+CT - Cost Assumptions'!I$51</f>
        <v>0</v>
      </c>
      <c r="K19" s="638">
        <f>(K$16+K$17)*'S&amp;L CC+CT - Cost Assumptions'!J$51</f>
        <v>13187500</v>
      </c>
      <c r="L19" s="637">
        <f>(L$16+L$17)*'S&amp;L CC+CT - Cost Assumptions'!K$51</f>
        <v>0</v>
      </c>
      <c r="M19" s="638">
        <f>(M$16+M$17)*'S&amp;L CC+CT - Cost Assumptions'!L$51</f>
        <v>0</v>
      </c>
      <c r="N19" s="638">
        <f>(N$16+N$17)*'S&amp;L CC+CT - Cost Assumptions'!M$51</f>
        <v>0</v>
      </c>
      <c r="O19" s="638">
        <f>(O$16+O$17)*'S&amp;L CC+CT - Cost Assumptions'!N$51</f>
        <v>0</v>
      </c>
      <c r="P19" s="816">
        <f>(P$16+P$17)*'S&amp;L CC+CT - Cost Assumptions'!O$51</f>
        <v>26250000</v>
      </c>
    </row>
    <row r="20" spans="1:16" x14ac:dyDescent="0.35">
      <c r="A20" s="727"/>
      <c r="B20" s="727"/>
      <c r="C20" s="727"/>
      <c r="D20" s="1242" t="s">
        <v>421</v>
      </c>
      <c r="E20" s="635"/>
      <c r="F20" s="817"/>
      <c r="G20" s="641">
        <f>SUM(G16:G19)</f>
        <v>211000000</v>
      </c>
      <c r="H20" s="641">
        <f t="shared" ref="H20:P20" si="0">SUM(H16:H19)</f>
        <v>211000000</v>
      </c>
      <c r="I20" s="641">
        <f t="shared" si="0"/>
        <v>211000000</v>
      </c>
      <c r="J20" s="641">
        <f t="shared" si="0"/>
        <v>211000000</v>
      </c>
      <c r="K20" s="641">
        <f t="shared" si="0"/>
        <v>224187500</v>
      </c>
      <c r="L20" s="640">
        <f t="shared" si="0"/>
        <v>547000000</v>
      </c>
      <c r="M20" s="641">
        <f t="shared" si="0"/>
        <v>547000000</v>
      </c>
      <c r="N20" s="641">
        <f t="shared" si="0"/>
        <v>547000000</v>
      </c>
      <c r="O20" s="641">
        <f t="shared" si="0"/>
        <v>547000000</v>
      </c>
      <c r="P20" s="818">
        <f t="shared" si="0"/>
        <v>573250000</v>
      </c>
    </row>
    <row r="21" spans="1:16" x14ac:dyDescent="0.35">
      <c r="D21" s="1243"/>
      <c r="E21" s="596"/>
      <c r="F21" s="597"/>
      <c r="G21" s="977"/>
      <c r="H21" s="1005"/>
      <c r="I21" s="1005"/>
      <c r="J21" s="1005"/>
      <c r="K21" s="1005"/>
      <c r="L21" s="977"/>
      <c r="M21" s="1005"/>
      <c r="N21" s="1005"/>
      <c r="O21" s="1005"/>
      <c r="P21" s="1006"/>
    </row>
    <row r="22" spans="1:16" x14ac:dyDescent="0.35">
      <c r="D22" s="1239" t="s">
        <v>100</v>
      </c>
      <c r="E22" s="596"/>
      <c r="F22" s="597"/>
      <c r="G22" s="1802"/>
      <c r="H22" s="1804"/>
      <c r="I22" s="1804"/>
      <c r="J22" s="1804"/>
      <c r="K22" s="1804"/>
      <c r="L22" s="977"/>
      <c r="M22" s="1005"/>
      <c r="N22" s="1005"/>
      <c r="O22" s="1005"/>
      <c r="P22" s="1006"/>
    </row>
    <row r="23" spans="1:16" x14ac:dyDescent="0.35">
      <c r="D23" s="1214" t="s">
        <v>101</v>
      </c>
      <c r="E23" s="625"/>
      <c r="F23" s="626"/>
      <c r="G23" s="809"/>
      <c r="H23" s="810"/>
      <c r="I23" s="810"/>
      <c r="J23" s="810"/>
      <c r="K23" s="810"/>
      <c r="L23" s="809"/>
      <c r="M23" s="810"/>
      <c r="N23" s="810"/>
      <c r="O23" s="810"/>
      <c r="P23" s="811"/>
    </row>
    <row r="24" spans="1:16" x14ac:dyDescent="0.35">
      <c r="D24" s="1223" t="s">
        <v>422</v>
      </c>
      <c r="E24" s="625"/>
      <c r="F24" s="626"/>
      <c r="G24" s="502"/>
      <c r="H24" s="807"/>
      <c r="I24" s="503"/>
      <c r="J24" s="503"/>
      <c r="K24" s="503"/>
      <c r="L24" s="627">
        <v>72305000</v>
      </c>
      <c r="M24" s="628">
        <v>72305000</v>
      </c>
      <c r="N24" s="628">
        <v>72305000</v>
      </c>
      <c r="O24" s="628">
        <v>72305000</v>
      </c>
      <c r="P24" s="808">
        <v>72305000</v>
      </c>
    </row>
    <row r="25" spans="1:16" x14ac:dyDescent="0.35">
      <c r="D25" s="1223" t="s">
        <v>102</v>
      </c>
      <c r="E25" s="625"/>
      <c r="F25" s="629"/>
      <c r="G25" s="627">
        <v>33590000</v>
      </c>
      <c r="H25" s="628">
        <v>33590000</v>
      </c>
      <c r="I25" s="628">
        <v>33590000</v>
      </c>
      <c r="J25" s="628">
        <v>33590000</v>
      </c>
      <c r="K25" s="628">
        <v>33590000</v>
      </c>
      <c r="L25" s="627">
        <v>105006000</v>
      </c>
      <c r="M25" s="628">
        <v>105006000</v>
      </c>
      <c r="N25" s="628">
        <v>105006000</v>
      </c>
      <c r="O25" s="628">
        <v>105006000</v>
      </c>
      <c r="P25" s="808">
        <v>105006000</v>
      </c>
    </row>
    <row r="26" spans="1:16" x14ac:dyDescent="0.35">
      <c r="D26" s="1244" t="s">
        <v>423</v>
      </c>
      <c r="E26" s="631"/>
      <c r="F26" s="823"/>
      <c r="G26" s="634">
        <f t="shared" ref="G26:N26" si="1">SUM(G23:G25)</f>
        <v>33590000</v>
      </c>
      <c r="H26" s="634">
        <f>SUM(H23:H25)</f>
        <v>33590000</v>
      </c>
      <c r="I26" s="634">
        <f>SUM(I23:I25)</f>
        <v>33590000</v>
      </c>
      <c r="J26" s="634">
        <f>SUM(J23:J25)</f>
        <v>33590000</v>
      </c>
      <c r="K26" s="634">
        <f>SUM(K23:K25)</f>
        <v>33590000</v>
      </c>
      <c r="L26" s="633">
        <f t="shared" si="1"/>
        <v>177311000</v>
      </c>
      <c r="M26" s="634">
        <f t="shared" si="1"/>
        <v>177311000</v>
      </c>
      <c r="N26" s="634">
        <f t="shared" si="1"/>
        <v>177311000</v>
      </c>
      <c r="O26" s="634">
        <f>SUM(O23:O25)</f>
        <v>177311000</v>
      </c>
      <c r="P26" s="824">
        <f>SUM(P23:P25)</f>
        <v>177311000</v>
      </c>
    </row>
    <row r="27" spans="1:16" x14ac:dyDescent="0.35">
      <c r="D27" s="1214" t="s">
        <v>103</v>
      </c>
      <c r="E27" s="625"/>
      <c r="F27" s="812"/>
      <c r="G27" s="630">
        <v>71530000</v>
      </c>
      <c r="H27" s="630">
        <v>57969000</v>
      </c>
      <c r="I27" s="630">
        <v>58669000</v>
      </c>
      <c r="J27" s="630">
        <v>63522000</v>
      </c>
      <c r="K27" s="630">
        <v>83591000</v>
      </c>
      <c r="L27" s="813">
        <v>488850000</v>
      </c>
      <c r="M27" s="630">
        <v>388521000</v>
      </c>
      <c r="N27" s="630">
        <v>389576000</v>
      </c>
      <c r="O27" s="630">
        <v>430248000</v>
      </c>
      <c r="P27" s="814">
        <v>561514000</v>
      </c>
    </row>
    <row r="28" spans="1:16" ht="12.75" customHeight="1" x14ac:dyDescent="0.35">
      <c r="D28" s="1245" t="s">
        <v>104</v>
      </c>
      <c r="E28" s="924"/>
      <c r="F28" s="812"/>
      <c r="G28" s="630">
        <v>27302000</v>
      </c>
      <c r="H28" s="630">
        <v>26488000</v>
      </c>
      <c r="I28" s="630">
        <v>26529000</v>
      </c>
      <c r="J28" s="630">
        <v>26821000</v>
      </c>
      <c r="K28" s="630">
        <v>28025000</v>
      </c>
      <c r="L28" s="813">
        <v>73741000</v>
      </c>
      <c r="M28" s="630">
        <v>69226000</v>
      </c>
      <c r="N28" s="630">
        <v>69274000</v>
      </c>
      <c r="O28" s="630">
        <v>71104000</v>
      </c>
      <c r="P28" s="814">
        <v>77011000</v>
      </c>
    </row>
    <row r="29" spans="1:16" x14ac:dyDescent="0.35">
      <c r="D29" s="1214" t="s">
        <v>105</v>
      </c>
      <c r="E29" s="924"/>
      <c r="F29" s="812"/>
      <c r="G29" s="628">
        <v>14404000</v>
      </c>
      <c r="H29" s="628">
        <v>14404000</v>
      </c>
      <c r="I29" s="628">
        <v>14404000</v>
      </c>
      <c r="J29" s="628">
        <v>14404000</v>
      </c>
      <c r="K29" s="808">
        <v>14404000</v>
      </c>
      <c r="L29" s="627">
        <v>100777000</v>
      </c>
      <c r="M29" s="628">
        <v>100777000</v>
      </c>
      <c r="N29" s="628">
        <v>100777000</v>
      </c>
      <c r="O29" s="628">
        <v>100777000</v>
      </c>
      <c r="P29" s="808">
        <v>100777000</v>
      </c>
    </row>
    <row r="30" spans="1:16" x14ac:dyDescent="0.35">
      <c r="D30" s="1222" t="s">
        <v>99</v>
      </c>
      <c r="E30" s="651"/>
      <c r="F30" s="825"/>
      <c r="G30" s="913">
        <f>G$26*'S&amp;L CC+CT - Cost Assumptions'!F$51</f>
        <v>0</v>
      </c>
      <c r="H30" s="914">
        <f>H$26*'S&amp;L CC+CT - Cost Assumptions'!G$51</f>
        <v>0</v>
      </c>
      <c r="I30" s="914">
        <f>I$26*'S&amp;L CC+CT - Cost Assumptions'!H$51</f>
        <v>0</v>
      </c>
      <c r="J30" s="914">
        <f>J$26*'S&amp;L CC+CT - Cost Assumptions'!I$51</f>
        <v>0</v>
      </c>
      <c r="K30" s="914">
        <f>K$26*'S&amp;L CC+CT - Cost Assumptions'!J$51</f>
        <v>2099375</v>
      </c>
      <c r="L30" s="913">
        <f>L$26*'S&amp;L CC+CT - Cost Assumptions'!K$51</f>
        <v>0</v>
      </c>
      <c r="M30" s="914">
        <f>M$26*'S&amp;L CC+CT - Cost Assumptions'!L$51</f>
        <v>0</v>
      </c>
      <c r="N30" s="914">
        <f>N$26*'S&amp;L CC+CT - Cost Assumptions'!M$51</f>
        <v>0</v>
      </c>
      <c r="O30" s="914">
        <f>O$26*'S&amp;L CC+CT - Cost Assumptions'!N$51</f>
        <v>0</v>
      </c>
      <c r="P30" s="915">
        <f>P$26*'S&amp;L CC+CT - Cost Assumptions'!O$51</f>
        <v>11081937.5</v>
      </c>
    </row>
    <row r="31" spans="1:16" x14ac:dyDescent="0.35">
      <c r="D31" s="1246" t="s">
        <v>77</v>
      </c>
      <c r="E31" s="635"/>
      <c r="F31" s="821"/>
      <c r="G31" s="638">
        <f>ROUNDUP((SUM(G26:G30)+G20)*'S&amp;L CC+CT - Cost Assumptions'!F34,-2)</f>
        <v>35782600</v>
      </c>
      <c r="H31" s="638">
        <f>ROUNDUP((SUM(H26:H30)+H20)*'S&amp;L CC+CT - Cost Assumptions'!G34,-2)</f>
        <v>34345100</v>
      </c>
      <c r="I31" s="638">
        <f>ROUNDUP((SUM(I26:I30)+I20)*'S&amp;L CC+CT - Cost Assumptions'!H34,-2)</f>
        <v>34419200</v>
      </c>
      <c r="J31" s="638">
        <f>ROUNDUP((SUM(J26:J30)+J20)*'S&amp;L CC+CT - Cost Assumptions'!I34,-2)</f>
        <v>34933700</v>
      </c>
      <c r="K31" s="816">
        <f>ROUNDUP((SUM(K26:K30)+K20)*'S&amp;L CC+CT - Cost Assumptions'!J34,-2)</f>
        <v>38589700</v>
      </c>
      <c r="L31" s="638">
        <f>ROUNDUP((SUM(L26:L30)+L20)*'S&amp;L CC+CT - Cost Assumptions'!K34,-2)</f>
        <v>138767900</v>
      </c>
      <c r="M31" s="638">
        <f>ROUNDUP((SUM(M26:M30)+M20)*'S&amp;L CC+CT - Cost Assumptions'!L34,-2)</f>
        <v>128283500</v>
      </c>
      <c r="N31" s="638">
        <f>ROUNDUP((SUM(N26:N30)+N20)*'S&amp;L CC+CT - Cost Assumptions'!M34,-2)</f>
        <v>128393800</v>
      </c>
      <c r="O31" s="638">
        <f>ROUNDUP((SUM(O26:O30)+O20)*'S&amp;L CC+CT - Cost Assumptions'!N34,-2)</f>
        <v>132644000</v>
      </c>
      <c r="P31" s="816">
        <f>ROUNDUP((SUM(P26:P30)+P20)*'S&amp;L CC+CT - Cost Assumptions'!O34,-2)</f>
        <v>150094500</v>
      </c>
    </row>
    <row r="32" spans="1:16" x14ac:dyDescent="0.35">
      <c r="D32" s="1246" t="s">
        <v>79</v>
      </c>
      <c r="E32" s="635"/>
      <c r="F32" s="821"/>
      <c r="G32" s="638">
        <f>ROUNDUP((SUM(G26:G31)+G20)*'S&amp;L CC+CT - Cost Assumptions'!F35,-2)</f>
        <v>39360900</v>
      </c>
      <c r="H32" s="638">
        <f>ROUNDUP((SUM(H26:H31)+H20)*'S&amp;L CC+CT - Cost Assumptions'!G35,-2)</f>
        <v>37779700</v>
      </c>
      <c r="I32" s="638">
        <f>ROUNDUP((SUM(I26:I31)+I20)*'S&amp;L CC+CT - Cost Assumptions'!H35,-2)</f>
        <v>37861200</v>
      </c>
      <c r="J32" s="638">
        <f>ROUNDUP((SUM(J26:J31)+J20)*'S&amp;L CC+CT - Cost Assumptions'!I35,-2)</f>
        <v>38427100</v>
      </c>
      <c r="K32" s="816">
        <f>ROUNDUP((SUM(K26:K31)+K20)*'S&amp;L CC+CT - Cost Assumptions'!J35,-2)</f>
        <v>42448700</v>
      </c>
      <c r="L32" s="638">
        <f>ROUNDUP((SUM(L26:L31)+L20)*'S&amp;L CC+CT - Cost Assumptions'!K35,-2)</f>
        <v>152644700</v>
      </c>
      <c r="M32" s="638">
        <f>ROUNDUP((SUM(M26:M31)+M20)*'S&amp;L CC+CT - Cost Assumptions'!L35,-2)</f>
        <v>141111900</v>
      </c>
      <c r="N32" s="638">
        <f>ROUNDUP((SUM(N26:N31)+N20)*'S&amp;L CC+CT - Cost Assumptions'!M35,-2)</f>
        <v>141233200</v>
      </c>
      <c r="O32" s="638">
        <f>ROUNDUP((SUM(O26:O31)+O20)*'S&amp;L CC+CT - Cost Assumptions'!N35,-2)</f>
        <v>145908400</v>
      </c>
      <c r="P32" s="816">
        <f>ROUNDUP((SUM(P26:P31)+P20)*'S&amp;L CC+CT - Cost Assumptions'!O35,-2)</f>
        <v>165104000</v>
      </c>
    </row>
    <row r="33" spans="1:16" x14ac:dyDescent="0.35">
      <c r="D33" s="1242" t="s">
        <v>106</v>
      </c>
      <c r="E33" s="635"/>
      <c r="F33" s="821"/>
      <c r="G33" s="641">
        <f t="shared" ref="G33:P33" si="2">SUM(G26:G32)</f>
        <v>221969500</v>
      </c>
      <c r="H33" s="641">
        <f t="shared" si="2"/>
        <v>204575800</v>
      </c>
      <c r="I33" s="641">
        <f t="shared" si="2"/>
        <v>205472400</v>
      </c>
      <c r="J33" s="641">
        <f t="shared" si="2"/>
        <v>211697800</v>
      </c>
      <c r="K33" s="818">
        <f t="shared" si="2"/>
        <v>242747775</v>
      </c>
      <c r="L33" s="641">
        <f t="shared" si="2"/>
        <v>1132091600</v>
      </c>
      <c r="M33" s="641">
        <f t="shared" si="2"/>
        <v>1005230400</v>
      </c>
      <c r="N33" s="641">
        <f t="shared" si="2"/>
        <v>1006565000</v>
      </c>
      <c r="O33" s="641">
        <f t="shared" si="2"/>
        <v>1057992400</v>
      </c>
      <c r="P33" s="818">
        <f t="shared" si="2"/>
        <v>1242893437.5</v>
      </c>
    </row>
    <row r="34" spans="1:16" ht="6" customHeight="1" x14ac:dyDescent="0.35">
      <c r="D34" s="1247"/>
      <c r="E34" s="596"/>
      <c r="F34" s="729"/>
      <c r="G34" s="995"/>
      <c r="H34" s="995"/>
      <c r="I34" s="995"/>
      <c r="J34" s="995"/>
      <c r="K34" s="1007"/>
      <c r="L34" s="995"/>
      <c r="M34" s="995"/>
      <c r="N34" s="995"/>
      <c r="O34" s="995"/>
      <c r="P34" s="1007"/>
    </row>
    <row r="35" spans="1:16" s="415" customFormat="1" x14ac:dyDescent="0.35">
      <c r="A35" s="728"/>
      <c r="B35" s="728"/>
      <c r="C35" s="728"/>
      <c r="D35" s="1242" t="s">
        <v>424</v>
      </c>
      <c r="E35" s="822"/>
      <c r="F35" s="819"/>
      <c r="G35" s="641">
        <f t="shared" ref="G35:P35" si="3">G20+G33</f>
        <v>432969500</v>
      </c>
      <c r="H35" s="641">
        <f t="shared" si="3"/>
        <v>415575800</v>
      </c>
      <c r="I35" s="641">
        <f t="shared" si="3"/>
        <v>416472400</v>
      </c>
      <c r="J35" s="641">
        <f t="shared" si="3"/>
        <v>422697800</v>
      </c>
      <c r="K35" s="818">
        <f t="shared" si="3"/>
        <v>466935275</v>
      </c>
      <c r="L35" s="641">
        <f t="shared" si="3"/>
        <v>1679091600</v>
      </c>
      <c r="M35" s="641">
        <f t="shared" si="3"/>
        <v>1552230400</v>
      </c>
      <c r="N35" s="641">
        <f t="shared" si="3"/>
        <v>1553565000</v>
      </c>
      <c r="O35" s="641">
        <f t="shared" si="3"/>
        <v>1604992400</v>
      </c>
      <c r="P35" s="818">
        <f t="shared" si="3"/>
        <v>1816143437.5</v>
      </c>
    </row>
    <row r="36" spans="1:16" ht="6" customHeight="1" x14ac:dyDescent="0.35">
      <c r="D36" s="1248"/>
      <c r="E36" s="603"/>
      <c r="F36" s="602"/>
      <c r="G36" s="1803"/>
      <c r="H36" s="997"/>
      <c r="I36" s="997"/>
      <c r="J36" s="997"/>
      <c r="K36" s="1008"/>
      <c r="L36" s="997"/>
      <c r="M36" s="997"/>
      <c r="N36" s="997"/>
      <c r="O36" s="997"/>
      <c r="P36" s="1008"/>
    </row>
    <row r="37" spans="1:16" ht="6" customHeight="1" x14ac:dyDescent="0.35">
      <c r="D37" s="594"/>
      <c r="E37" s="604"/>
      <c r="F37" s="585"/>
      <c r="G37" s="936"/>
      <c r="H37" s="939"/>
      <c r="I37" s="939"/>
      <c r="J37" s="939"/>
      <c r="K37" s="1009"/>
      <c r="L37" s="939"/>
      <c r="M37" s="939"/>
      <c r="N37" s="939"/>
      <c r="O37" s="939"/>
      <c r="P37" s="1009"/>
    </row>
    <row r="38" spans="1:16" x14ac:dyDescent="0.35">
      <c r="D38" s="527" t="s">
        <v>107</v>
      </c>
      <c r="E38" s="526"/>
      <c r="F38" s="525"/>
      <c r="G38" s="649"/>
      <c r="H38" s="650"/>
      <c r="I38" s="650"/>
      <c r="J38" s="650"/>
      <c r="K38" s="829"/>
      <c r="L38" s="650"/>
      <c r="M38" s="650"/>
      <c r="N38" s="650"/>
      <c r="O38" s="650"/>
      <c r="P38" s="829"/>
    </row>
    <row r="39" spans="1:16" ht="6" customHeight="1" x14ac:dyDescent="0.35">
      <c r="D39" s="1249"/>
      <c r="F39" s="605"/>
      <c r="G39" s="938"/>
      <c r="H39" s="941"/>
      <c r="I39" s="941"/>
      <c r="J39" s="941"/>
      <c r="K39" s="1010"/>
      <c r="L39" s="941"/>
      <c r="M39" s="941"/>
      <c r="N39" s="941"/>
      <c r="O39" s="941"/>
      <c r="P39" s="1010"/>
    </row>
    <row r="40" spans="1:16" x14ac:dyDescent="0.35">
      <c r="D40" s="1246" t="s">
        <v>147</v>
      </c>
      <c r="E40" s="642"/>
      <c r="F40" s="821"/>
      <c r="G40" s="638">
        <f>G$35*'S&amp;L CC+CT - Cost Assumptions'!F36</f>
        <v>21648475</v>
      </c>
      <c r="H40" s="638">
        <f>H$35*'S&amp;L CC+CT - Cost Assumptions'!G36</f>
        <v>20778790</v>
      </c>
      <c r="I40" s="638">
        <f>I$35*'S&amp;L CC+CT - Cost Assumptions'!H36</f>
        <v>20823620</v>
      </c>
      <c r="J40" s="638">
        <f>J$35*'S&amp;L CC+CT - Cost Assumptions'!I36</f>
        <v>21134890</v>
      </c>
      <c r="K40" s="816">
        <f>K$35*'S&amp;L CC+CT - Cost Assumptions'!J36</f>
        <v>23346763.75</v>
      </c>
      <c r="L40" s="638">
        <f>L$35*'S&amp;L CC+CT - Cost Assumptions'!K36</f>
        <v>83954580</v>
      </c>
      <c r="M40" s="638">
        <f>M$35*'S&amp;L CC+CT - Cost Assumptions'!L36</f>
        <v>77611520</v>
      </c>
      <c r="N40" s="638">
        <f>N$35*'S&amp;L CC+CT - Cost Assumptions'!M36</f>
        <v>77678250</v>
      </c>
      <c r="O40" s="638">
        <f>O$35*'S&amp;L CC+CT - Cost Assumptions'!N36</f>
        <v>80249620</v>
      </c>
      <c r="P40" s="816">
        <f>P$35*'S&amp;L CC+CT - Cost Assumptions'!O36</f>
        <v>90807171.875</v>
      </c>
    </row>
    <row r="41" spans="1:16" x14ac:dyDescent="0.35">
      <c r="D41" s="1246" t="s">
        <v>148</v>
      </c>
      <c r="E41" s="642"/>
      <c r="F41" s="821"/>
      <c r="G41" s="638">
        <f>G$35*'S&amp;L CC+CT - Cost Assumptions'!F37</f>
        <v>4329695</v>
      </c>
      <c r="H41" s="638">
        <f>H$35*'S&amp;L CC+CT - Cost Assumptions'!G37</f>
        <v>4155758</v>
      </c>
      <c r="I41" s="638">
        <f>I$35*'S&amp;L CC+CT - Cost Assumptions'!H37</f>
        <v>4164724</v>
      </c>
      <c r="J41" s="638">
        <f>J$35*'S&amp;L CC+CT - Cost Assumptions'!I37</f>
        <v>4226978</v>
      </c>
      <c r="K41" s="816">
        <f>K$35*'S&amp;L CC+CT - Cost Assumptions'!J37</f>
        <v>4669352.75</v>
      </c>
      <c r="L41" s="638">
        <f>L$35*'S&amp;L CC+CT - Cost Assumptions'!K37</f>
        <v>16790916</v>
      </c>
      <c r="M41" s="638">
        <f>M$35*'S&amp;L CC+CT - Cost Assumptions'!L37</f>
        <v>15522304</v>
      </c>
      <c r="N41" s="638">
        <f>N$35*'S&amp;L CC+CT - Cost Assumptions'!M37</f>
        <v>15535650</v>
      </c>
      <c r="O41" s="638">
        <f>O$35*'S&amp;L CC+CT - Cost Assumptions'!N37</f>
        <v>16049924</v>
      </c>
      <c r="P41" s="816">
        <f>P$35*'S&amp;L CC+CT - Cost Assumptions'!O37</f>
        <v>18161434.375</v>
      </c>
    </row>
    <row r="42" spans="1:16" ht="14.5" customHeight="1" x14ac:dyDescent="0.35">
      <c r="D42" s="1246" t="s">
        <v>83</v>
      </c>
      <c r="E42" s="645"/>
      <c r="F42" s="821"/>
      <c r="G42" s="638">
        <f>G$35*'S&amp;L CC+CT - Cost Assumptions'!F38</f>
        <v>2164847.5</v>
      </c>
      <c r="H42" s="638">
        <f>H$35*'S&amp;L CC+CT - Cost Assumptions'!G38</f>
        <v>2077879</v>
      </c>
      <c r="I42" s="638">
        <f>I$35*'S&amp;L CC+CT - Cost Assumptions'!H38</f>
        <v>2082362</v>
      </c>
      <c r="J42" s="638">
        <f>J$35*'S&amp;L CC+CT - Cost Assumptions'!I38</f>
        <v>2113489</v>
      </c>
      <c r="K42" s="816">
        <f>K$35*'S&amp;L CC+CT - Cost Assumptions'!J38</f>
        <v>2334676.375</v>
      </c>
      <c r="L42" s="638">
        <f>L$35*'S&amp;L CC+CT - Cost Assumptions'!K38</f>
        <v>8395458</v>
      </c>
      <c r="M42" s="638">
        <f>M$35*'S&amp;L CC+CT - Cost Assumptions'!L38</f>
        <v>7761152</v>
      </c>
      <c r="N42" s="638">
        <f>N$35*'S&amp;L CC+CT - Cost Assumptions'!M38</f>
        <v>7767825</v>
      </c>
      <c r="O42" s="638">
        <f>O$35*'S&amp;L CC+CT - Cost Assumptions'!N38</f>
        <v>8024962</v>
      </c>
      <c r="P42" s="816">
        <f>P$35*'S&amp;L CC+CT - Cost Assumptions'!O38</f>
        <v>9080717.1875</v>
      </c>
    </row>
    <row r="43" spans="1:16" x14ac:dyDescent="0.35">
      <c r="D43" s="1246" t="s">
        <v>84</v>
      </c>
      <c r="E43" s="635"/>
      <c r="F43" s="821"/>
      <c r="G43" s="638">
        <f>SUM(G45:G49,G40:G42)*'S&amp;L CC+CT - Cost Assumptions'!F39</f>
        <v>7015389.8077395083</v>
      </c>
      <c r="H43" s="638">
        <f>SUM(H45:H49,H40:H42)*'S&amp;L CC+CT - Cost Assumptions'!G39</f>
        <v>7026421.4575043302</v>
      </c>
      <c r="I43" s="638">
        <f>SUM(I45:I49,I40:I42)*'S&amp;L CC+CT - Cost Assumptions'!H39</f>
        <v>6804094.2358787535</v>
      </c>
      <c r="J43" s="638">
        <f>SUM(J45:J49,J40:J42)*'S&amp;L CC+CT - Cost Assumptions'!I39</f>
        <v>6767006.5406595049</v>
      </c>
      <c r="K43" s="816">
        <f>SUM(K45:K49,K40:K42)*'S&amp;L CC+CT - Cost Assumptions'!J39</f>
        <v>7382828.494200022</v>
      </c>
      <c r="L43" s="638">
        <f>SUM(L45:L49,L40:L42)*'S&amp;L CC+CT - Cost Assumptions'!K39</f>
        <v>16720754.00636741</v>
      </c>
      <c r="M43" s="638">
        <f>SUM(M45:M49,M40:M42)*'S&amp;L CC+CT - Cost Assumptions'!L39</f>
        <v>16389134.001148211</v>
      </c>
      <c r="N43" s="638">
        <f>SUM(N45:N49,N40:N42)*'S&amp;L CC+CT - Cost Assumptions'!M39</f>
        <v>15690650.153648147</v>
      </c>
      <c r="O43" s="638">
        <f>SUM(O45:O49,O40:O42)*'S&amp;L CC+CT - Cost Assumptions'!N39</f>
        <v>15665781.810588283</v>
      </c>
      <c r="P43" s="816">
        <f>SUM(P45:P49,P40:P42)*'S&amp;L CC+CT - Cost Assumptions'!O39</f>
        <v>18581805.452791266</v>
      </c>
    </row>
    <row r="44" spans="1:16" ht="14.5" customHeight="1" x14ac:dyDescent="0.35">
      <c r="D44" s="1250" t="s">
        <v>425</v>
      </c>
      <c r="E44" s="803"/>
      <c r="F44" s="923"/>
      <c r="G44" s="1255">
        <v>0</v>
      </c>
      <c r="H44" s="1255">
        <v>0</v>
      </c>
      <c r="I44" s="1255">
        <v>0</v>
      </c>
      <c r="J44" s="1255">
        <v>0</v>
      </c>
      <c r="K44" s="1256">
        <v>0</v>
      </c>
      <c r="L44" s="1257">
        <v>2240000</v>
      </c>
      <c r="M44" s="1255">
        <v>2240000</v>
      </c>
      <c r="N44" s="1255">
        <v>2240000</v>
      </c>
      <c r="O44" s="1255">
        <v>2240000</v>
      </c>
      <c r="P44" s="1256">
        <v>2240000</v>
      </c>
    </row>
    <row r="45" spans="1:16" x14ac:dyDescent="0.35">
      <c r="D45" s="1222" t="s">
        <v>108</v>
      </c>
      <c r="E45" s="1259" t="s">
        <v>564</v>
      </c>
      <c r="F45" s="652"/>
      <c r="G45" s="913">
        <v>-1143747.0660349019</v>
      </c>
      <c r="H45" s="914">
        <v>15852.296141881496</v>
      </c>
      <c r="I45" s="914">
        <v>-1704842.8576758336</v>
      </c>
      <c r="J45" s="914">
        <v>-2832633.6447130032</v>
      </c>
      <c r="K45" s="915">
        <v>1135655.3621093817</v>
      </c>
      <c r="L45" s="914">
        <v>-25372045.936227906</v>
      </c>
      <c r="M45" s="914">
        <v>-20906772.390820179</v>
      </c>
      <c r="N45" s="914">
        <v>-25580678.894032169</v>
      </c>
      <c r="O45" s="914">
        <v>-31470046.297701892</v>
      </c>
      <c r="P45" s="915">
        <v>-11963480.982474238</v>
      </c>
    </row>
    <row r="46" spans="1:16" x14ac:dyDescent="0.35">
      <c r="D46" s="1222" t="s">
        <v>109</v>
      </c>
      <c r="E46" s="1820"/>
      <c r="F46" s="652"/>
      <c r="G46" s="913">
        <f>'S&amp;L CC+CT - Cost Assumptions'!F$43*10^6</f>
        <v>21416126.504321642</v>
      </c>
      <c r="H46" s="914">
        <f>'S&amp;L CC+CT - Cost Assumptions'!G$43*10^6</f>
        <v>21565028.018407833</v>
      </c>
      <c r="I46" s="914">
        <f>'S&amp;L CC+CT - Cost Assumptions'!H$43*10^6</f>
        <v>21135870.240474395</v>
      </c>
      <c r="J46" s="914">
        <f>'S&amp;L CC+CT - Cost Assumptions'!I$43*10^6</f>
        <v>20931376.641283341</v>
      </c>
      <c r="K46" s="915">
        <f>'S&amp;L CC+CT - Cost Assumptions'!J$43*10^6</f>
        <v>21457014.291596413</v>
      </c>
      <c r="L46" s="914">
        <f>'S&amp;L CC+CT - Cost Assumptions'!K$43*10^6</f>
        <v>70466985.587483019</v>
      </c>
      <c r="M46" s="914">
        <f>'S&amp;L CC+CT - Cost Assumptions'!L$43*10^6</f>
        <v>70476551.580495164</v>
      </c>
      <c r="N46" s="914">
        <f>'S&amp;L CC+CT - Cost Assumptions'!M$43*10^6</f>
        <v>69757626.208519548</v>
      </c>
      <c r="O46" s="914">
        <f>'S&amp;L CC+CT - Cost Assumptions'!N$43*10^6</f>
        <v>69069694.653903276</v>
      </c>
      <c r="P46" s="915">
        <f>'S&amp;L CC+CT - Cost Assumptions'!O$43*10^6</f>
        <v>70722752.909219176</v>
      </c>
    </row>
    <row r="47" spans="1:16" x14ac:dyDescent="0.35">
      <c r="D47" s="1222" t="s">
        <v>88</v>
      </c>
      <c r="E47" s="1820"/>
      <c r="F47" s="652"/>
      <c r="G47" s="913">
        <f>'S&amp;L CC+CT - Cost Assumptions'!F$45*10^6</f>
        <v>34520407.784554124</v>
      </c>
      <c r="H47" s="914">
        <f>'S&amp;L CC+CT - Cost Assumptions'!G$45*10^6</f>
        <v>34520407.784554124</v>
      </c>
      <c r="I47" s="914">
        <f>'S&amp;L CC+CT - Cost Assumptions'!H$45*10^6</f>
        <v>34520407.784554124</v>
      </c>
      <c r="J47" s="914">
        <f>'S&amp;L CC+CT - Cost Assumptions'!I$45*10^6</f>
        <v>34520407.784554124</v>
      </c>
      <c r="K47" s="915">
        <f>'S&amp;L CC+CT - Cost Assumptions'!J$45*10^6</f>
        <v>34520407.784554124</v>
      </c>
      <c r="L47" s="914">
        <f>'S&amp;L CC+CT - Cost Assumptions'!K$45*10^6</f>
        <v>48388520.170698389</v>
      </c>
      <c r="M47" s="914">
        <f>'S&amp;L CC+CT - Cost Assumptions'!L$45*10^6</f>
        <v>48388520.170698389</v>
      </c>
      <c r="N47" s="914">
        <f>'S&amp;L CC+CT - Cost Assumptions'!M$45*10^6</f>
        <v>48388520.170698389</v>
      </c>
      <c r="O47" s="914">
        <f>'S&amp;L CC+CT - Cost Assumptions'!N$45*10^6</f>
        <v>48388520.170698389</v>
      </c>
      <c r="P47" s="915">
        <f>O47</f>
        <v>48388520.170698389</v>
      </c>
    </row>
    <row r="48" spans="1:16" x14ac:dyDescent="0.35">
      <c r="A48" s="730"/>
      <c r="B48" s="730"/>
      <c r="C48" s="730"/>
      <c r="D48" s="1222" t="s">
        <v>90</v>
      </c>
      <c r="E48" s="1820"/>
      <c r="F48" s="652"/>
      <c r="G48" s="913">
        <f>'S&amp;L CC+CT - Cost Assumptions'!F$48</f>
        <v>1064168.542939852</v>
      </c>
      <c r="H48" s="914">
        <f>'S&amp;L CC+CT - Cost Assumptions'!G$48</f>
        <v>1001816.6089965397</v>
      </c>
      <c r="I48" s="914">
        <f>'S&amp;L CC+CT - Cost Assumptions'!H$48</f>
        <v>430989.0725693471</v>
      </c>
      <c r="J48" s="914">
        <f>'S&amp;L CC+CT - Cost Assumptions'!I$48</f>
        <v>918266.35090896441</v>
      </c>
      <c r="K48" s="915">
        <f>'S&amp;L CC+CT - Cost Assumptions'!J$48</f>
        <v>1179242.104157917</v>
      </c>
      <c r="L48" s="913">
        <f>'S&amp;L CC+CT - Cost Assumptions'!K$48</f>
        <v>6385011.257639112</v>
      </c>
      <c r="M48" s="914">
        <f>'S&amp;L CC+CT - Cost Assumptions'!L$48</f>
        <v>6010899.6539792381</v>
      </c>
      <c r="N48" s="914">
        <f>'S&amp;L CC+CT - Cost Assumptions'!M$48</f>
        <v>2585934.4354160829</v>
      </c>
      <c r="O48" s="914">
        <f>'S&amp;L CC+CT - Cost Assumptions'!N$48</f>
        <v>5509598.1054537864</v>
      </c>
      <c r="P48" s="915">
        <f>'S&amp;L CC+CT - Cost Assumptions'!O$48</f>
        <v>7075452.6249475013</v>
      </c>
    </row>
    <row r="49" spans="1:21" x14ac:dyDescent="0.35">
      <c r="A49" s="730"/>
      <c r="B49" s="730"/>
      <c r="C49" s="730"/>
      <c r="D49" s="1222" t="s">
        <v>110</v>
      </c>
      <c r="E49" s="1259" t="str">
        <f>E45</f>
        <v>2028$</v>
      </c>
      <c r="F49" s="652"/>
      <c r="G49" s="913">
        <f>'S&amp;L CC+CT - Cost Assumptions'!F$53</f>
        <v>3692399.3309631324</v>
      </c>
      <c r="H49" s="914">
        <f>'S&amp;L CC+CT - Cost Assumptions'!G$53</f>
        <v>3714736.510703743</v>
      </c>
      <c r="I49" s="914">
        <f>'S&amp;L CC+CT - Cost Assumptions'!H$53</f>
        <v>3598047.7085623853</v>
      </c>
      <c r="J49" s="914">
        <f>'S&amp;L CC+CT - Cost Assumptions'!I$53</f>
        <v>3574807.6262103934</v>
      </c>
      <c r="K49" s="915">
        <f>'S&amp;L CC+CT - Cost Assumptions'!J$53</f>
        <v>3642243.7600824395</v>
      </c>
      <c r="L49" s="912"/>
      <c r="M49" s="912"/>
      <c r="N49" s="912"/>
      <c r="O49" s="912"/>
      <c r="P49" s="916"/>
    </row>
    <row r="50" spans="1:21" x14ac:dyDescent="0.35">
      <c r="D50" s="1251" t="s">
        <v>111</v>
      </c>
      <c r="E50" s="646"/>
      <c r="F50" s="821"/>
      <c r="G50" s="638">
        <f t="shared" ref="G50:P50" si="4">SUM(G40:G49)</f>
        <v>94707762.404483363</v>
      </c>
      <c r="H50" s="638">
        <f t="shared" si="4"/>
        <v>94856689.676308453</v>
      </c>
      <c r="I50" s="638">
        <f t="shared" si="4"/>
        <v>91855272.184363171</v>
      </c>
      <c r="J50" s="638">
        <f t="shared" si="4"/>
        <v>91354588.298903316</v>
      </c>
      <c r="K50" s="816">
        <f t="shared" si="4"/>
        <v>99668184.671700284</v>
      </c>
      <c r="L50" s="638">
        <f t="shared" si="4"/>
        <v>227970179.08596003</v>
      </c>
      <c r="M50" s="638">
        <f t="shared" si="4"/>
        <v>223493309.01550084</v>
      </c>
      <c r="N50" s="638">
        <f t="shared" si="4"/>
        <v>214063777.07425001</v>
      </c>
      <c r="O50" s="638">
        <f t="shared" si="4"/>
        <v>213728054.44294184</v>
      </c>
      <c r="P50" s="816">
        <f t="shared" si="4"/>
        <v>253094373.6126821</v>
      </c>
      <c r="R50" s="83"/>
      <c r="S50" s="83"/>
      <c r="T50" s="1137"/>
      <c r="U50" s="144"/>
    </row>
    <row r="51" spans="1:21" x14ac:dyDescent="0.35">
      <c r="A51" s="731"/>
      <c r="B51" s="731"/>
      <c r="C51" s="731"/>
      <c r="D51" s="1222" t="s">
        <v>85</v>
      </c>
      <c r="E51" s="653"/>
      <c r="F51" s="652"/>
      <c r="G51" s="826">
        <f>(G$35+G$50)*'S&amp;L CC+CT - Cost Assumptions'!F$40</f>
        <v>21107090.496179335</v>
      </c>
      <c r="H51" s="827">
        <f>(H$35+H$50)*'S&amp;L CC+CT - Cost Assumptions'!G$40</f>
        <v>20417299.587052338</v>
      </c>
      <c r="I51" s="827">
        <f>(I$35+I$50)*'S&amp;L CC+CT - Cost Assumptions'!H$40</f>
        <v>20333106.887374528</v>
      </c>
      <c r="J51" s="827">
        <f>(J$35+J$50)*'S&amp;L CC+CT - Cost Assumptions'!I$40</f>
        <v>20562095.531956133</v>
      </c>
      <c r="K51" s="828">
        <f>(K$35+K$50)*'S&amp;L CC+CT - Cost Assumptions'!J$40</f>
        <v>22664138.386868011</v>
      </c>
      <c r="L51" s="827">
        <f>(L$35+L$50)*'S&amp;L CC+CT - Cost Assumptions'!K$40</f>
        <v>76282471.163438395</v>
      </c>
      <c r="M51" s="827">
        <f>(M$35+M$50)*'S&amp;L CC+CT - Cost Assumptions'!L$40</f>
        <v>71028948.360620037</v>
      </c>
      <c r="N51" s="827">
        <f>(N$35+N$50)*'S&amp;L CC+CT - Cost Assumptions'!M$40</f>
        <v>70705151.082969993</v>
      </c>
      <c r="O51" s="827">
        <f>(O$35+O$50)*'S&amp;L CC+CT - Cost Assumptions'!N$40</f>
        <v>72748818.177717671</v>
      </c>
      <c r="P51" s="828">
        <f>(P$35+P$50)*'S&amp;L CC+CT - Cost Assumptions'!O$40</f>
        <v>82769512.444507286</v>
      </c>
    </row>
    <row r="52" spans="1:21" s="415" customFormat="1" x14ac:dyDescent="0.35">
      <c r="A52" s="728"/>
      <c r="B52" s="728"/>
      <c r="C52" s="728"/>
      <c r="D52" s="1242" t="s">
        <v>112</v>
      </c>
      <c r="E52" s="639"/>
      <c r="F52" s="647"/>
      <c r="G52" s="640">
        <f t="shared" ref="G52:P52" si="5">G50+G51</f>
        <v>115814852.90066269</v>
      </c>
      <c r="H52" s="641">
        <f t="shared" si="5"/>
        <v>115273989.2633608</v>
      </c>
      <c r="I52" s="641">
        <f t="shared" si="5"/>
        <v>112188379.07173771</v>
      </c>
      <c r="J52" s="641">
        <f t="shared" si="5"/>
        <v>111916683.83085945</v>
      </c>
      <c r="K52" s="818">
        <f t="shared" si="5"/>
        <v>122332323.0585683</v>
      </c>
      <c r="L52" s="641">
        <f t="shared" si="5"/>
        <v>304252650.24939841</v>
      </c>
      <c r="M52" s="641">
        <f t="shared" si="5"/>
        <v>294522257.37612087</v>
      </c>
      <c r="N52" s="641">
        <f t="shared" si="5"/>
        <v>284768928.15722001</v>
      </c>
      <c r="O52" s="641">
        <f t="shared" si="5"/>
        <v>286476872.62065953</v>
      </c>
      <c r="P52" s="818">
        <f t="shared" si="5"/>
        <v>335863886.0571894</v>
      </c>
    </row>
    <row r="53" spans="1:21" ht="6" customHeight="1" x14ac:dyDescent="0.35">
      <c r="D53" s="1252"/>
      <c r="E53" s="608"/>
      <c r="F53" s="608"/>
      <c r="G53" s="1803"/>
      <c r="H53" s="997"/>
      <c r="I53" s="997"/>
      <c r="J53" s="997"/>
      <c r="K53" s="1008"/>
      <c r="L53" s="997"/>
      <c r="M53" s="997"/>
      <c r="N53" s="997"/>
      <c r="O53" s="997"/>
      <c r="P53" s="1008"/>
    </row>
    <row r="54" spans="1:21" ht="6" customHeight="1" x14ac:dyDescent="0.35">
      <c r="D54" s="1253"/>
      <c r="E54" s="609"/>
      <c r="F54" s="609"/>
      <c r="G54" s="936"/>
      <c r="H54" s="939"/>
      <c r="I54" s="939"/>
      <c r="J54" s="939"/>
      <c r="K54" s="1009"/>
      <c r="L54" s="939"/>
      <c r="M54" s="939"/>
      <c r="N54" s="939"/>
      <c r="O54" s="939"/>
      <c r="P54" s="1009"/>
    </row>
    <row r="55" spans="1:21" s="415" customFormat="1" x14ac:dyDescent="0.35">
      <c r="A55" s="728"/>
      <c r="B55" s="728"/>
      <c r="C55" s="728"/>
      <c r="D55" s="1242" t="s">
        <v>199</v>
      </c>
      <c r="E55" s="639"/>
      <c r="F55" s="819"/>
      <c r="G55" s="641">
        <f t="shared" ref="G55:P55" si="6">(G35+G52)/10^6</f>
        <v>548.78435290066261</v>
      </c>
      <c r="H55" s="641">
        <f t="shared" si="6"/>
        <v>530.84978926336078</v>
      </c>
      <c r="I55" s="641">
        <f t="shared" si="6"/>
        <v>528.66077907173769</v>
      </c>
      <c r="J55" s="641">
        <f t="shared" si="6"/>
        <v>534.6144838308594</v>
      </c>
      <c r="K55" s="818">
        <f t="shared" si="6"/>
        <v>589.26759805856818</v>
      </c>
      <c r="L55" s="641">
        <f t="shared" si="6"/>
        <v>1983.3442502493986</v>
      </c>
      <c r="M55" s="641">
        <f t="shared" si="6"/>
        <v>1846.7526573761209</v>
      </c>
      <c r="N55" s="641">
        <f t="shared" si="6"/>
        <v>1838.3339281572198</v>
      </c>
      <c r="O55" s="641">
        <f t="shared" si="6"/>
        <v>1891.4692726206597</v>
      </c>
      <c r="P55" s="818">
        <f t="shared" si="6"/>
        <v>2152.0073235571895</v>
      </c>
    </row>
    <row r="56" spans="1:21" x14ac:dyDescent="0.35">
      <c r="D56" s="1242" t="s">
        <v>113</v>
      </c>
      <c r="E56" s="639"/>
      <c r="F56" s="820"/>
      <c r="G56" s="641">
        <f t="shared" ref="G56:P56" si="7">(G35+G52)/(G10*1000)</f>
        <v>1400.7247653072409</v>
      </c>
      <c r="H56" s="641">
        <f t="shared" si="7"/>
        <v>1345.5927334246553</v>
      </c>
      <c r="I56" s="641">
        <f t="shared" si="7"/>
        <v>1367.2532621036564</v>
      </c>
      <c r="J56" s="641">
        <f t="shared" si="7"/>
        <v>1396.1591876873363</v>
      </c>
      <c r="K56" s="818">
        <f t="shared" si="7"/>
        <v>1501.1886818939715</v>
      </c>
      <c r="L56" s="641">
        <f t="shared" si="7"/>
        <v>1538.524506426781</v>
      </c>
      <c r="M56" s="641">
        <f t="shared" si="7"/>
        <v>1432.3729053499901</v>
      </c>
      <c r="N56" s="641">
        <f t="shared" si="7"/>
        <v>1440.5380021041669</v>
      </c>
      <c r="O56" s="641">
        <f t="shared" si="7"/>
        <v>1496.93783402331</v>
      </c>
      <c r="P56" s="818">
        <f t="shared" si="7"/>
        <v>1663.3230202173361</v>
      </c>
    </row>
    <row r="57" spans="1:21" ht="6" customHeight="1" thickBot="1" x14ac:dyDescent="0.4">
      <c r="D57" s="1254"/>
      <c r="E57" s="610"/>
      <c r="F57" s="610"/>
      <c r="G57" s="611"/>
      <c r="H57" s="612"/>
      <c r="I57" s="612"/>
      <c r="J57" s="612"/>
      <c r="K57" s="732"/>
      <c r="L57" s="611"/>
      <c r="M57" s="612"/>
      <c r="N57" s="612"/>
      <c r="O57" s="612"/>
      <c r="P57" s="732"/>
    </row>
    <row r="58" spans="1:21" ht="6" customHeight="1" thickTop="1" x14ac:dyDescent="0.35">
      <c r="D58" s="593" t="s">
        <v>114</v>
      </c>
      <c r="E58" s="593"/>
      <c r="F58" s="593"/>
      <c r="G58" s="614"/>
      <c r="H58" s="614"/>
      <c r="I58" s="614"/>
      <c r="J58" s="614"/>
      <c r="K58" s="614"/>
      <c r="L58" s="614"/>
      <c r="M58" s="614"/>
      <c r="N58" s="614"/>
      <c r="O58" s="614"/>
      <c r="P58" s="614"/>
    </row>
    <row r="59" spans="1:21" ht="15" customHeight="1" x14ac:dyDescent="0.35">
      <c r="D59" s="563" t="s">
        <v>381</v>
      </c>
      <c r="E59" s="615"/>
      <c r="F59" s="585"/>
      <c r="G59" s="616"/>
      <c r="H59" s="616"/>
      <c r="I59" s="616"/>
      <c r="J59" s="616"/>
      <c r="K59" s="616"/>
      <c r="L59" s="616"/>
      <c r="M59" s="616"/>
      <c r="N59" s="616"/>
      <c r="O59" s="616"/>
      <c r="P59" s="616"/>
    </row>
    <row r="60" spans="1:21" ht="29" x14ac:dyDescent="0.35">
      <c r="D60" s="565" t="s">
        <v>382</v>
      </c>
      <c r="E60" s="585"/>
      <c r="F60" s="585"/>
      <c r="G60" s="585"/>
      <c r="H60" s="585"/>
      <c r="I60" s="585"/>
      <c r="J60" s="585"/>
      <c r="K60" s="585"/>
      <c r="L60" s="585"/>
      <c r="M60" s="585"/>
      <c r="N60" s="585"/>
      <c r="O60" s="585"/>
      <c r="P60" s="585"/>
    </row>
    <row r="61" spans="1:21" x14ac:dyDescent="0.35">
      <c r="D61" s="564" t="s">
        <v>383</v>
      </c>
      <c r="E61" s="606"/>
      <c r="F61" s="617"/>
      <c r="G61" s="585"/>
      <c r="H61" s="585"/>
      <c r="I61" s="585"/>
      <c r="J61" s="585"/>
      <c r="K61" s="585"/>
      <c r="L61" s="618"/>
      <c r="M61" s="618"/>
      <c r="N61" s="618"/>
      <c r="O61" s="618"/>
      <c r="P61" s="618"/>
    </row>
    <row r="69" spans="1:16" x14ac:dyDescent="0.35">
      <c r="G69" s="733"/>
      <c r="H69" s="733"/>
      <c r="I69" s="733"/>
      <c r="J69" s="733"/>
      <c r="L69" s="733"/>
      <c r="M69" s="733"/>
      <c r="N69" s="733"/>
      <c r="O69" s="733"/>
    </row>
    <row r="70" spans="1:16" x14ac:dyDescent="0.35">
      <c r="G70" s="733"/>
      <c r="H70" s="733"/>
      <c r="I70" s="733"/>
      <c r="J70" s="733"/>
      <c r="L70" s="733"/>
      <c r="M70" s="733"/>
      <c r="N70" s="733"/>
      <c r="O70" s="733"/>
    </row>
    <row r="71" spans="1:16" x14ac:dyDescent="0.35">
      <c r="A71" s="734"/>
      <c r="B71" s="734"/>
      <c r="C71" s="734"/>
    </row>
    <row r="76" spans="1:16" x14ac:dyDescent="0.35">
      <c r="G76" s="733"/>
      <c r="H76" s="733"/>
      <c r="I76" s="733"/>
      <c r="J76" s="733"/>
    </row>
    <row r="77" spans="1:16" x14ac:dyDescent="0.35">
      <c r="G77" s="733"/>
      <c r="H77" s="733"/>
      <c r="I77" s="733"/>
      <c r="J77" s="733"/>
    </row>
    <row r="79" spans="1:16" x14ac:dyDescent="0.35">
      <c r="G79" s="735"/>
      <c r="H79" s="735"/>
      <c r="I79" s="735"/>
      <c r="J79" s="735"/>
      <c r="K79" s="736"/>
      <c r="L79" s="735"/>
      <c r="M79" s="735"/>
      <c r="N79" s="735"/>
      <c r="O79" s="735"/>
      <c r="P79" s="736"/>
    </row>
    <row r="80" spans="1:16" x14ac:dyDescent="0.35">
      <c r="G80" s="735"/>
      <c r="H80" s="735"/>
      <c r="I80" s="735"/>
      <c r="J80" s="735"/>
      <c r="K80" s="736"/>
      <c r="L80" s="735"/>
      <c r="M80" s="735"/>
      <c r="N80" s="735"/>
      <c r="O80" s="735"/>
      <c r="P80" s="736"/>
    </row>
  </sheetData>
  <mergeCells count="2">
    <mergeCell ref="G7:K7"/>
    <mergeCell ref="L7:P7"/>
  </mergeCells>
  <pageMargins left="0.7" right="0.7" top="0.75" bottom="0.75" header="0.3" footer="0.3"/>
  <pageSetup scale="62" fitToWidth="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E9CC-1C94-4696-8B86-3668C876494F}">
  <sheetPr codeName="Sheet44">
    <pageSetUpPr fitToPage="1"/>
  </sheetPr>
  <dimension ref="A1:P86"/>
  <sheetViews>
    <sheetView showGridLines="0" zoomScale="70" zoomScaleNormal="70" workbookViewId="0"/>
  </sheetViews>
  <sheetFormatPr defaultColWidth="8.81640625" defaultRowHeight="14.5" x14ac:dyDescent="0.35"/>
  <cols>
    <col min="1" max="3" width="13.54296875" style="29" customWidth="1"/>
    <col min="4" max="4" width="53.453125" style="29" customWidth="1"/>
    <col min="5" max="5" width="1.54296875" style="29" customWidth="1"/>
    <col min="6" max="15" width="18.54296875" style="30" customWidth="1"/>
    <col min="16" max="16" width="1.54296875" style="30" customWidth="1"/>
    <col min="17" max="16384" width="8.81640625" style="29"/>
  </cols>
  <sheetData>
    <row r="1" spans="1:16" s="28" customFormat="1" ht="15" customHeight="1" x14ac:dyDescent="0.35">
      <c r="A1" s="81" t="s">
        <v>275</v>
      </c>
      <c r="C1" s="566"/>
    </row>
    <row r="2" spans="1:16" s="28" customFormat="1" ht="15" customHeight="1" x14ac:dyDescent="0.35">
      <c r="C2" s="566"/>
    </row>
    <row r="3" spans="1:16" s="28" customFormat="1" ht="15" customHeight="1" x14ac:dyDescent="0.35">
      <c r="C3" s="566"/>
      <c r="D3" s="88" t="str">
        <f>LEFT($D4, FIND(":",$D4)-1)</f>
        <v>Table C9</v>
      </c>
    </row>
    <row r="4" spans="1:16" s="28" customFormat="1" ht="15" customHeight="1" x14ac:dyDescent="0.35">
      <c r="C4" s="566"/>
      <c r="D4" s="86" t="str">
        <f>ToC!$J$48</f>
        <v>Table C9: CC + CT Operations and Maintenance Costs</v>
      </c>
      <c r="F4" s="35"/>
    </row>
    <row r="5" spans="1:16" ht="6" customHeight="1" thickBot="1" x14ac:dyDescent="0.4">
      <c r="D5" s="659"/>
      <c r="E5" s="659"/>
      <c r="F5" s="660"/>
      <c r="G5" s="660"/>
      <c r="H5" s="660"/>
      <c r="I5" s="660"/>
      <c r="J5" s="660"/>
      <c r="K5" s="660"/>
      <c r="L5" s="660"/>
      <c r="M5" s="660"/>
      <c r="N5" s="660"/>
      <c r="O5" s="660"/>
      <c r="P5" s="661"/>
    </row>
    <row r="6" spans="1:16" ht="6" customHeight="1" thickTop="1" x14ac:dyDescent="0.35">
      <c r="D6" s="1260"/>
      <c r="F6" s="662"/>
      <c r="G6" s="663"/>
      <c r="H6" s="663"/>
      <c r="I6" s="663"/>
      <c r="J6" s="737"/>
      <c r="K6" s="662"/>
      <c r="L6" s="663"/>
      <c r="M6" s="663"/>
      <c r="N6" s="663"/>
      <c r="O6" s="663"/>
      <c r="P6" s="738"/>
    </row>
    <row r="7" spans="1:16" ht="12.75" customHeight="1" x14ac:dyDescent="0.35">
      <c r="D7" s="1261"/>
      <c r="E7" s="665"/>
      <c r="F7" s="2211" t="s">
        <v>519</v>
      </c>
      <c r="G7" s="2212"/>
      <c r="H7" s="2212"/>
      <c r="I7" s="2212"/>
      <c r="J7" s="2213"/>
      <c r="K7" s="2211" t="s">
        <v>519</v>
      </c>
      <c r="L7" s="2212"/>
      <c r="M7" s="2212"/>
      <c r="N7" s="2212"/>
      <c r="O7" s="2213"/>
      <c r="P7" s="427"/>
    </row>
    <row r="8" spans="1:16" ht="12.75" customHeight="1" x14ac:dyDescent="0.35">
      <c r="D8" s="1261"/>
      <c r="E8" s="665"/>
      <c r="F8" s="1011" t="s">
        <v>288</v>
      </c>
      <c r="G8" s="667" t="s">
        <v>289</v>
      </c>
      <c r="H8" s="1004" t="s">
        <v>290</v>
      </c>
      <c r="I8" s="667" t="s">
        <v>291</v>
      </c>
      <c r="J8" s="721" t="s">
        <v>299</v>
      </c>
      <c r="K8" s="1011" t="s">
        <v>288</v>
      </c>
      <c r="L8" s="667" t="s">
        <v>289</v>
      </c>
      <c r="M8" s="667" t="s">
        <v>290</v>
      </c>
      <c r="N8" s="667" t="s">
        <v>291</v>
      </c>
      <c r="O8" s="994" t="s">
        <v>299</v>
      </c>
      <c r="P8" s="427"/>
    </row>
    <row r="9" spans="1:16" ht="25.5" customHeight="1" x14ac:dyDescent="0.35">
      <c r="D9" s="1262" t="s">
        <v>76</v>
      </c>
      <c r="E9" s="739"/>
      <c r="F9" s="740" t="s">
        <v>354</v>
      </c>
      <c r="G9" s="690" t="s">
        <v>354</v>
      </c>
      <c r="H9" s="690" t="s">
        <v>354</v>
      </c>
      <c r="I9" s="690" t="s">
        <v>354</v>
      </c>
      <c r="J9" s="741" t="s">
        <v>354</v>
      </c>
      <c r="K9" s="422" t="s">
        <v>415</v>
      </c>
      <c r="L9" s="423" t="s">
        <v>415</v>
      </c>
      <c r="M9" s="423" t="s">
        <v>415</v>
      </c>
      <c r="N9" s="423" t="s">
        <v>415</v>
      </c>
      <c r="O9" s="423" t="s">
        <v>415</v>
      </c>
      <c r="P9" s="669"/>
    </row>
    <row r="10" spans="1:16" ht="6" customHeight="1" x14ac:dyDescent="0.35">
      <c r="D10" s="1263"/>
      <c r="E10" s="670"/>
      <c r="F10" s="671"/>
      <c r="G10" s="672"/>
      <c r="H10" s="672"/>
      <c r="I10" s="672"/>
      <c r="J10" s="742"/>
      <c r="K10" s="671"/>
      <c r="L10" s="672"/>
      <c r="M10" s="672"/>
      <c r="N10" s="672"/>
      <c r="O10" s="672"/>
      <c r="P10" s="669"/>
    </row>
    <row r="11" spans="1:16" ht="6" customHeight="1" x14ac:dyDescent="0.35">
      <c r="D11" s="1264"/>
      <c r="E11" s="673"/>
      <c r="F11" s="674"/>
      <c r="G11" s="743"/>
      <c r="H11" s="743"/>
      <c r="I11" s="743"/>
      <c r="J11" s="744"/>
      <c r="K11" s="738"/>
      <c r="L11" s="661"/>
      <c r="M11" s="661"/>
      <c r="N11" s="661"/>
      <c r="O11" s="661"/>
      <c r="P11" s="674"/>
    </row>
    <row r="12" spans="1:16" x14ac:dyDescent="0.35">
      <c r="D12" s="527" t="s">
        <v>398</v>
      </c>
      <c r="E12" s="522"/>
      <c r="F12" s="521"/>
      <c r="G12" s="522"/>
      <c r="H12" s="521"/>
      <c r="I12" s="522"/>
      <c r="J12" s="522"/>
      <c r="K12" s="521"/>
      <c r="L12" s="522"/>
      <c r="M12" s="521"/>
      <c r="N12" s="522"/>
      <c r="O12" s="522"/>
      <c r="P12" s="675"/>
    </row>
    <row r="13" spans="1:16" x14ac:dyDescent="0.35">
      <c r="D13" s="1265" t="s">
        <v>426</v>
      </c>
      <c r="E13" s="836"/>
      <c r="F13" s="699">
        <v>422000</v>
      </c>
      <c r="G13" s="699">
        <v>422000</v>
      </c>
      <c r="H13" s="699">
        <v>422000</v>
      </c>
      <c r="I13" s="699">
        <v>422000</v>
      </c>
      <c r="J13" s="699">
        <v>422000</v>
      </c>
      <c r="K13" s="698">
        <v>1039000</v>
      </c>
      <c r="L13" s="699">
        <v>1039000</v>
      </c>
      <c r="M13" s="699">
        <v>1039000</v>
      </c>
      <c r="N13" s="699">
        <v>1039000</v>
      </c>
      <c r="O13" s="699">
        <v>1039000</v>
      </c>
      <c r="P13" s="675"/>
    </row>
    <row r="14" spans="1:16" x14ac:dyDescent="0.35">
      <c r="D14" s="1265" t="s">
        <v>427</v>
      </c>
      <c r="E14" s="837"/>
      <c r="F14" s="699">
        <v>1091000</v>
      </c>
      <c r="G14" s="699">
        <v>1160000</v>
      </c>
      <c r="H14" s="699">
        <v>795000</v>
      </c>
      <c r="I14" s="699">
        <v>951000</v>
      </c>
      <c r="J14" s="699">
        <v>1049000</v>
      </c>
      <c r="K14" s="698">
        <v>4909000</v>
      </c>
      <c r="L14" s="699">
        <v>5222000</v>
      </c>
      <c r="M14" s="699">
        <v>3577000</v>
      </c>
      <c r="N14" s="699">
        <v>4277000</v>
      </c>
      <c r="O14" s="699">
        <v>4721000</v>
      </c>
      <c r="P14" s="676"/>
    </row>
    <row r="15" spans="1:16" x14ac:dyDescent="0.35">
      <c r="D15" s="1265" t="s">
        <v>428</v>
      </c>
      <c r="E15" s="837"/>
      <c r="F15" s="699">
        <v>481000</v>
      </c>
      <c r="G15" s="699">
        <v>491000</v>
      </c>
      <c r="H15" s="699">
        <v>432600</v>
      </c>
      <c r="I15" s="699">
        <v>459000</v>
      </c>
      <c r="J15" s="699">
        <v>475000</v>
      </c>
      <c r="K15" s="698">
        <v>7189000</v>
      </c>
      <c r="L15" s="699">
        <v>7339000</v>
      </c>
      <c r="M15" s="699">
        <v>6469000</v>
      </c>
      <c r="N15" s="699">
        <v>6867000</v>
      </c>
      <c r="O15" s="699">
        <v>7096000</v>
      </c>
      <c r="P15" s="677"/>
    </row>
    <row r="16" spans="1:16" s="673" customFormat="1" x14ac:dyDescent="0.35">
      <c r="D16" s="1265" t="s">
        <v>429</v>
      </c>
      <c r="E16" s="837"/>
      <c r="F16" s="699">
        <v>258000</v>
      </c>
      <c r="G16" s="699">
        <v>258000</v>
      </c>
      <c r="H16" s="699">
        <v>258000</v>
      </c>
      <c r="I16" s="699">
        <v>258000</v>
      </c>
      <c r="J16" s="699">
        <v>258000</v>
      </c>
      <c r="K16" s="698">
        <v>1468000</v>
      </c>
      <c r="L16" s="699">
        <v>1468000</v>
      </c>
      <c r="M16" s="699">
        <v>1468000</v>
      </c>
      <c r="N16" s="699">
        <v>1468000</v>
      </c>
      <c r="O16" s="699">
        <v>1468000</v>
      </c>
      <c r="P16" s="677"/>
    </row>
    <row r="17" spans="3:16" s="673" customFormat="1" x14ac:dyDescent="0.35">
      <c r="D17" s="1266" t="s">
        <v>430</v>
      </c>
      <c r="E17" s="837"/>
      <c r="F17" s="699">
        <v>586000</v>
      </c>
      <c r="G17" s="699">
        <v>628000</v>
      </c>
      <c r="H17" s="699">
        <v>421000</v>
      </c>
      <c r="I17" s="699">
        <v>499000</v>
      </c>
      <c r="J17" s="699">
        <v>565000</v>
      </c>
      <c r="K17" s="698">
        <v>1544000</v>
      </c>
      <c r="L17" s="699">
        <v>1645000</v>
      </c>
      <c r="M17" s="699">
        <v>1112000</v>
      </c>
      <c r="N17" s="699">
        <v>1315000</v>
      </c>
      <c r="O17" s="699">
        <v>1490000</v>
      </c>
      <c r="P17" s="677"/>
    </row>
    <row r="18" spans="3:16" x14ac:dyDescent="0.35">
      <c r="D18" s="1267" t="s">
        <v>431</v>
      </c>
      <c r="E18" s="703"/>
      <c r="F18" s="895">
        <f>'S&amp;L CC+CT - Capital Costs'!G$55*'S&amp;L CC+CT - Cost Assumptions'!F$64*10^6</f>
        <v>3292706.1174039757</v>
      </c>
      <c r="G18" s="896">
        <f>'S&amp;L CC+CT - Capital Costs'!H$55*'S&amp;L CC+CT - Cost Assumptions'!G$64*10^6</f>
        <v>3185098.7355801649</v>
      </c>
      <c r="H18" s="896">
        <f>'S&amp;L CC+CT - Capital Costs'!I$55*'S&amp;L CC+CT - Cost Assumptions'!H$64*10^6</f>
        <v>3171964.6744304262</v>
      </c>
      <c r="I18" s="896">
        <f>'S&amp;L CC+CT - Capital Costs'!J$55*'S&amp;L CC+CT - Cost Assumptions'!I$64*10^6</f>
        <v>3207686.902985156</v>
      </c>
      <c r="J18" s="896">
        <f>'S&amp;L CC+CT - Capital Costs'!K$55*'S&amp;L CC+CT - Cost Assumptions'!J$64*10^6</f>
        <v>3535605.5883514094</v>
      </c>
      <c r="K18" s="895">
        <f>'S&amp;L CC+CT - Capital Costs'!L$55*'S&amp;L CC+CT - Cost Assumptions'!K$64*10^6</f>
        <v>11900065.501496391</v>
      </c>
      <c r="L18" s="896">
        <f>'S&amp;L CC+CT - Capital Costs'!M$55*'S&amp;L CC+CT - Cost Assumptions'!L$64*10^6</f>
        <v>11080515.944256725</v>
      </c>
      <c r="M18" s="896">
        <f>'S&amp;L CC+CT - Capital Costs'!N$55*'S&amp;L CC+CT - Cost Assumptions'!M$64*10^6</f>
        <v>11030003.56894332</v>
      </c>
      <c r="N18" s="896">
        <f>'S&amp;L CC+CT - Capital Costs'!O$55*'S&amp;L CC+CT - Cost Assumptions'!N$64*10^6</f>
        <v>11348815.63572396</v>
      </c>
      <c r="O18" s="896">
        <f>'S&amp;L CC+CT - Capital Costs'!P$55*'S&amp;L CC+CT - Cost Assumptions'!O$64*10^6</f>
        <v>12912043.941343138</v>
      </c>
      <c r="P18" s="678"/>
    </row>
    <row r="19" spans="3:16" s="31" customFormat="1" ht="12" customHeight="1" x14ac:dyDescent="0.35">
      <c r="D19" s="1268" t="s">
        <v>432</v>
      </c>
      <c r="E19" s="709"/>
      <c r="F19" s="1078">
        <f>_xlfn.XLOOKUP("CT_"&amp;F$8,'Annual Property Tax Costs'!$I$27:$AS$27,'Annual Property Tax Costs'!$I$44:$AS$44)</f>
        <v>465237.73447830498</v>
      </c>
      <c r="G19" s="1079">
        <f>_xlfn.XLOOKUP("CT_"&amp;G$8,'Annual Property Tax Costs'!$I$27:$AS$27,'Annual Property Tax Costs'!$I$44:$AS$44)</f>
        <v>6583378.484899574</v>
      </c>
      <c r="H19" s="1079">
        <f>_xlfn.XLOOKUP("CT_"&amp;H$8,'Annual Property Tax Costs'!$I$27:$AS$27,'Annual Property Tax Costs'!$I$44:$AS$44)</f>
        <v>3342594.6215823069</v>
      </c>
      <c r="I19" s="1079">
        <f>_xlfn.XLOOKUP("CT_"&amp;I$8,'Annual Property Tax Costs'!$I$27:$AS$27,'Annual Property Tax Costs'!$I$44:$AS$44)</f>
        <v>586328.04595785239</v>
      </c>
      <c r="J19" s="1079">
        <f>_xlfn.XLOOKUP("CT_"&amp;J$8,'Annual Property Tax Costs'!$I$27:$AS$27,'Annual Property Tax Costs'!$I$44:$AS$44)</f>
        <v>438666.59502814809</v>
      </c>
      <c r="K19" s="1078">
        <f>_xlfn.XLOOKUP("CC_"&amp;K$8,'Annual Property Tax Costs'!$I$27:$AS$27,'Annual Property Tax Costs'!$I$44:$AS$44)</f>
        <v>3223123.0996250268</v>
      </c>
      <c r="L19" s="1079">
        <f>_xlfn.XLOOKUP("CC_"&amp;L$8,'Annual Property Tax Costs'!$I$27:$AS$27,'Annual Property Tax Costs'!$I$44:$AS$44)</f>
        <v>22853216.879127752</v>
      </c>
      <c r="M19" s="1079">
        <f>_xlfn.XLOOKUP("CC_"&amp;M$8,'Annual Property Tax Costs'!$I$27:$AS$27,'Annual Property Tax Costs'!$I$44:$AS$44)</f>
        <v>12510441.762216441</v>
      </c>
      <c r="N19" s="1079">
        <f>_xlfn.XLOOKUP("CC_"&amp;N$8,'Annual Property Tax Costs'!$I$27:$AS$27,'Annual Property Tax Costs'!$I$44:$AS$44)</f>
        <v>4067205.9832050465</v>
      </c>
      <c r="O19" s="1079">
        <f>_xlfn.XLOOKUP("CC_"&amp;O$8,'Annual Property Tax Costs'!$I$27:$AS$27,'Annual Property Tax Costs'!$I$44:$AS$44)</f>
        <v>3036034.9818217093</v>
      </c>
      <c r="P19" s="678"/>
    </row>
    <row r="20" spans="3:16" s="31" customFormat="1" x14ac:dyDescent="0.35">
      <c r="C20" s="83"/>
      <c r="D20" s="1222" t="s">
        <v>433</v>
      </c>
      <c r="E20" s="709"/>
      <c r="F20" s="1080"/>
      <c r="G20" s="1081"/>
      <c r="H20" s="1081"/>
      <c r="I20" s="1081"/>
      <c r="J20" s="1081"/>
      <c r="K20" s="1078">
        <v>9856252.2821634021</v>
      </c>
      <c r="L20" s="1079">
        <v>18759821.782400157</v>
      </c>
      <c r="M20" s="1079">
        <v>24060525.926872171</v>
      </c>
      <c r="N20" s="1079">
        <v>17165831.519580483</v>
      </c>
      <c r="O20" s="1079">
        <v>7861780.4570438405</v>
      </c>
      <c r="P20" s="678"/>
    </row>
    <row r="21" spans="3:16" ht="6" customHeight="1" x14ac:dyDescent="0.35">
      <c r="D21" s="1269"/>
      <c r="E21" s="679"/>
      <c r="F21" s="920"/>
      <c r="G21" s="921"/>
      <c r="H21" s="921"/>
      <c r="I21" s="921"/>
      <c r="J21" s="921"/>
      <c r="K21" s="745"/>
      <c r="L21" s="746"/>
      <c r="M21" s="746"/>
      <c r="N21" s="746"/>
      <c r="O21" s="746"/>
      <c r="P21" s="682"/>
    </row>
    <row r="22" spans="3:16" ht="6" customHeight="1" x14ac:dyDescent="0.35">
      <c r="D22" s="1270"/>
      <c r="E22" s="683"/>
      <c r="F22" s="922"/>
      <c r="G22" s="797"/>
      <c r="H22" s="797"/>
      <c r="I22" s="797"/>
      <c r="J22" s="797"/>
      <c r="K22" s="747"/>
      <c r="L22" s="748"/>
      <c r="M22" s="748"/>
      <c r="N22" s="748"/>
      <c r="O22" s="748"/>
      <c r="P22" s="677"/>
    </row>
    <row r="23" spans="3:16" x14ac:dyDescent="0.35">
      <c r="D23" s="527" t="s">
        <v>407</v>
      </c>
      <c r="E23" s="528"/>
      <c r="F23" s="833"/>
      <c r="G23" s="834"/>
      <c r="H23" s="833"/>
      <c r="I23" s="834"/>
      <c r="J23" s="834"/>
      <c r="K23" s="835"/>
      <c r="L23" s="834"/>
      <c r="M23" s="833"/>
      <c r="N23" s="834"/>
      <c r="O23" s="834"/>
      <c r="P23" s="677"/>
    </row>
    <row r="24" spans="3:16" x14ac:dyDescent="0.35">
      <c r="D24" s="1271" t="s">
        <v>434</v>
      </c>
      <c r="E24" s="837"/>
      <c r="F24" s="838"/>
      <c r="G24" s="838"/>
      <c r="H24" s="838"/>
      <c r="I24" s="838"/>
      <c r="J24" s="838"/>
      <c r="K24" s="839">
        <v>1.7067628610827794</v>
      </c>
      <c r="L24" s="840">
        <v>1.7043784433769766</v>
      </c>
      <c r="M24" s="840">
        <v>1.7272501930871094</v>
      </c>
      <c r="N24" s="840">
        <v>1.7458972097387588</v>
      </c>
      <c r="O24" s="840">
        <v>1.7010071287662394</v>
      </c>
      <c r="P24" s="685"/>
    </row>
    <row r="25" spans="3:16" x14ac:dyDescent="0.35">
      <c r="D25" s="1271" t="s">
        <v>435</v>
      </c>
      <c r="E25" s="837"/>
      <c r="F25" s="840">
        <v>1.009553916713104</v>
      </c>
      <c r="G25" s="840">
        <v>1.0049094929967211</v>
      </c>
      <c r="H25" s="840">
        <v>0.95109018751300345</v>
      </c>
      <c r="I25" s="840">
        <v>1.0251315920965061</v>
      </c>
      <c r="J25" s="840">
        <v>1.0082721556783929</v>
      </c>
      <c r="K25" s="839">
        <v>0.70221417211773618</v>
      </c>
      <c r="L25" s="840">
        <v>0.70170383255787727</v>
      </c>
      <c r="M25" s="840">
        <v>0.70659909845523461</v>
      </c>
      <c r="N25" s="840">
        <v>0.71059014006154575</v>
      </c>
      <c r="O25" s="840">
        <v>0.70098226636148375</v>
      </c>
      <c r="P25" s="749"/>
    </row>
    <row r="26" spans="3:16" x14ac:dyDescent="0.35">
      <c r="D26" s="1272" t="s">
        <v>436</v>
      </c>
      <c r="E26" s="841"/>
      <c r="F26" s="840"/>
      <c r="G26" s="840"/>
      <c r="H26" s="840"/>
      <c r="I26" s="840"/>
      <c r="J26" s="840"/>
      <c r="K26" s="839">
        <v>2.4089770332005154</v>
      </c>
      <c r="L26" s="840">
        <v>2.4060822759348541</v>
      </c>
      <c r="M26" s="840">
        <v>2.433849291542344</v>
      </c>
      <c r="N26" s="840">
        <v>2.4564873498003044</v>
      </c>
      <c r="O26" s="840">
        <v>2.4019893951277229</v>
      </c>
      <c r="P26" s="682"/>
    </row>
    <row r="27" spans="3:16" ht="29" x14ac:dyDescent="0.35">
      <c r="D27" s="1273" t="s">
        <v>437</v>
      </c>
      <c r="E27" s="842"/>
      <c r="F27" s="843">
        <v>30300</v>
      </c>
      <c r="G27" s="843">
        <v>30300</v>
      </c>
      <c r="H27" s="843">
        <v>30300</v>
      </c>
      <c r="I27" s="843">
        <v>30300</v>
      </c>
      <c r="J27" s="843">
        <v>30300</v>
      </c>
      <c r="K27" s="844"/>
      <c r="L27" s="838"/>
      <c r="M27" s="838"/>
      <c r="N27" s="838"/>
      <c r="O27" s="838"/>
      <c r="P27" s="677"/>
    </row>
    <row r="28" spans="3:16" ht="6" customHeight="1" thickBot="1" x14ac:dyDescent="0.4">
      <c r="D28" s="1274"/>
      <c r="E28" s="686"/>
      <c r="F28" s="687"/>
      <c r="G28" s="688"/>
      <c r="H28" s="688"/>
      <c r="I28" s="688"/>
      <c r="J28" s="750"/>
      <c r="K28" s="751"/>
      <c r="L28" s="752"/>
      <c r="M28" s="752"/>
      <c r="N28" s="752"/>
      <c r="O28" s="752"/>
      <c r="P28" s="677"/>
    </row>
    <row r="29" spans="3:16" ht="6" customHeight="1" thickTop="1" x14ac:dyDescent="0.35">
      <c r="D29" s="673"/>
      <c r="E29" s="673"/>
      <c r="F29" s="661"/>
      <c r="G29" s="661"/>
      <c r="H29" s="661"/>
      <c r="I29" s="661"/>
      <c r="J29" s="661"/>
      <c r="K29" s="753"/>
      <c r="L29" s="753"/>
      <c r="M29" s="753"/>
      <c r="N29" s="753"/>
      <c r="O29" s="753"/>
      <c r="P29" s="661"/>
    </row>
    <row r="30" spans="3:16" x14ac:dyDescent="0.35">
      <c r="D30" s="563" t="s">
        <v>381</v>
      </c>
      <c r="E30" s="689"/>
      <c r="F30" s="661"/>
      <c r="G30" s="661"/>
      <c r="H30" s="661"/>
      <c r="I30" s="661"/>
      <c r="J30" s="661"/>
      <c r="K30" s="753"/>
      <c r="L30" s="753"/>
      <c r="M30" s="753"/>
      <c r="N30" s="753"/>
      <c r="O30" s="753"/>
      <c r="P30" s="661"/>
    </row>
    <row r="31" spans="3:16" ht="29" x14ac:dyDescent="0.35">
      <c r="D31" s="565" t="s">
        <v>382</v>
      </c>
      <c r="E31" s="683"/>
      <c r="F31" s="690"/>
      <c r="G31" s="690"/>
      <c r="H31" s="690"/>
      <c r="I31" s="690"/>
      <c r="J31" s="690"/>
      <c r="K31" s="754"/>
      <c r="L31" s="690"/>
      <c r="M31" s="690"/>
      <c r="N31" s="690"/>
      <c r="O31" s="690"/>
    </row>
    <row r="32" spans="3:16" x14ac:dyDescent="0.35">
      <c r="D32" s="564" t="s">
        <v>383</v>
      </c>
      <c r="E32" s="683"/>
      <c r="F32" s="691"/>
      <c r="G32" s="691"/>
      <c r="H32" s="691"/>
      <c r="I32" s="691"/>
      <c r="J32" s="691"/>
      <c r="K32" s="691"/>
      <c r="L32" s="691"/>
      <c r="M32" s="691"/>
      <c r="N32" s="691"/>
      <c r="O32" s="691"/>
    </row>
    <row r="33" spans="3:15" x14ac:dyDescent="0.35">
      <c r="D33" s="692"/>
      <c r="E33" s="683"/>
      <c r="F33" s="691"/>
      <c r="G33" s="691"/>
      <c r="H33" s="691"/>
      <c r="I33" s="691"/>
      <c r="J33" s="691"/>
      <c r="K33" s="755"/>
      <c r="L33" s="691"/>
      <c r="M33" s="691"/>
      <c r="N33" s="691"/>
      <c r="O33" s="691"/>
    </row>
    <row r="34" spans="3:15" x14ac:dyDescent="0.35">
      <c r="D34" s="693" t="s">
        <v>438</v>
      </c>
      <c r="E34" s="683"/>
      <c r="F34" s="691"/>
      <c r="G34" s="691"/>
      <c r="H34" s="691"/>
      <c r="I34" s="691"/>
      <c r="J34" s="691"/>
      <c r="K34" s="755"/>
      <c r="L34" s="691"/>
      <c r="M34" s="691"/>
      <c r="N34" s="691"/>
      <c r="O34" s="691"/>
    </row>
    <row r="35" spans="3:15" x14ac:dyDescent="0.35">
      <c r="D35" s="693" t="s">
        <v>439</v>
      </c>
      <c r="E35" s="31"/>
      <c r="K35" s="32"/>
      <c r="L35" s="32"/>
      <c r="M35" s="32"/>
      <c r="N35" s="32"/>
      <c r="O35" s="32"/>
    </row>
    <row r="36" spans="3:15" s="30" customFormat="1" x14ac:dyDescent="0.35">
      <c r="C36" s="29"/>
      <c r="D36" s="31"/>
      <c r="E36" s="31"/>
      <c r="K36" s="32"/>
      <c r="L36" s="32"/>
      <c r="M36" s="32"/>
      <c r="N36" s="32"/>
      <c r="O36" s="32"/>
    </row>
    <row r="37" spans="3:15" s="30" customFormat="1" x14ac:dyDescent="0.35">
      <c r="C37" s="29"/>
      <c r="D37" s="29"/>
      <c r="E37" s="29"/>
      <c r="K37" s="32"/>
      <c r="L37" s="32"/>
      <c r="M37" s="32"/>
      <c r="N37" s="32"/>
      <c r="O37" s="32"/>
    </row>
    <row r="38" spans="3:15" s="30" customFormat="1" x14ac:dyDescent="0.35">
      <c r="D38" s="29"/>
      <c r="E38" s="29"/>
      <c r="K38" s="32"/>
      <c r="L38" s="32"/>
      <c r="M38" s="32"/>
      <c r="N38" s="32"/>
      <c r="O38" s="32"/>
    </row>
    <row r="39" spans="3:15" s="30" customFormat="1" x14ac:dyDescent="0.35">
      <c r="D39" s="29"/>
      <c r="E39" s="29"/>
      <c r="K39" s="32"/>
      <c r="L39" s="32"/>
      <c r="M39" s="32"/>
      <c r="N39" s="32"/>
      <c r="O39" s="32"/>
    </row>
    <row r="40" spans="3:15" s="30" customFormat="1" x14ac:dyDescent="0.35">
      <c r="D40" s="29"/>
      <c r="E40" s="29"/>
      <c r="K40" s="32"/>
      <c r="L40" s="32"/>
      <c r="M40" s="32"/>
      <c r="N40" s="32"/>
      <c r="O40" s="32"/>
    </row>
    <row r="41" spans="3:15" s="30" customFormat="1" x14ac:dyDescent="0.35">
      <c r="D41" s="29"/>
      <c r="E41" s="29"/>
      <c r="K41" s="32"/>
      <c r="L41" s="32"/>
      <c r="M41" s="32"/>
      <c r="N41" s="32"/>
      <c r="O41" s="32"/>
    </row>
    <row r="42" spans="3:15" s="30" customFormat="1" x14ac:dyDescent="0.35">
      <c r="D42" s="29"/>
      <c r="E42" s="29"/>
      <c r="K42" s="32"/>
      <c r="L42" s="32"/>
      <c r="M42" s="32"/>
      <c r="N42" s="32"/>
      <c r="O42" s="32"/>
    </row>
    <row r="43" spans="3:15" s="30" customFormat="1" x14ac:dyDescent="0.35">
      <c r="D43" s="29"/>
      <c r="E43" s="29"/>
      <c r="K43" s="32"/>
      <c r="L43" s="32"/>
      <c r="M43" s="32"/>
      <c r="N43" s="32"/>
      <c r="O43" s="32"/>
    </row>
    <row r="44" spans="3:15" s="30" customFormat="1" x14ac:dyDescent="0.35">
      <c r="D44" s="29"/>
      <c r="E44" s="29"/>
      <c r="K44" s="32"/>
      <c r="L44" s="32"/>
      <c r="M44" s="32"/>
      <c r="N44" s="32"/>
      <c r="O44" s="32"/>
    </row>
    <row r="45" spans="3:15" s="30" customFormat="1" x14ac:dyDescent="0.35">
      <c r="D45" s="29"/>
      <c r="E45" s="29"/>
      <c r="K45" s="32"/>
      <c r="L45" s="32"/>
      <c r="M45" s="32"/>
      <c r="N45" s="32"/>
      <c r="O45" s="32"/>
    </row>
    <row r="46" spans="3:15" s="30" customFormat="1" x14ac:dyDescent="0.35">
      <c r="D46" s="29"/>
      <c r="E46" s="29"/>
      <c r="K46" s="32"/>
      <c r="L46" s="32"/>
      <c r="M46" s="32"/>
      <c r="N46" s="32"/>
      <c r="O46" s="32"/>
    </row>
    <row r="47" spans="3:15" s="30" customFormat="1" x14ac:dyDescent="0.35">
      <c r="D47" s="29"/>
      <c r="E47" s="29"/>
      <c r="K47" s="32"/>
      <c r="L47" s="32"/>
      <c r="M47" s="32"/>
      <c r="N47" s="32"/>
      <c r="O47" s="32"/>
    </row>
    <row r="48" spans="3:15" s="30" customFormat="1" x14ac:dyDescent="0.35">
      <c r="D48" s="29"/>
      <c r="E48" s="29"/>
      <c r="K48" s="32"/>
      <c r="L48" s="32"/>
      <c r="M48" s="32"/>
      <c r="N48" s="32"/>
      <c r="O48" s="32"/>
    </row>
    <row r="49" spans="4:15" s="30" customFormat="1" x14ac:dyDescent="0.35">
      <c r="D49" s="29"/>
      <c r="E49" s="29"/>
      <c r="K49" s="32"/>
      <c r="L49" s="32"/>
      <c r="M49" s="32"/>
      <c r="N49" s="32"/>
      <c r="O49" s="32"/>
    </row>
    <row r="50" spans="4:15" s="30" customFormat="1" x14ac:dyDescent="0.35">
      <c r="D50" s="29"/>
      <c r="E50" s="29"/>
      <c r="K50" s="32"/>
      <c r="L50" s="32"/>
      <c r="M50" s="32"/>
      <c r="N50" s="32"/>
      <c r="O50" s="32"/>
    </row>
    <row r="51" spans="4:15" s="30" customFormat="1" x14ac:dyDescent="0.35">
      <c r="D51" s="29"/>
      <c r="E51" s="29"/>
      <c r="K51" s="32"/>
      <c r="L51" s="32"/>
      <c r="M51" s="32"/>
      <c r="N51" s="32"/>
      <c r="O51" s="32"/>
    </row>
    <row r="52" spans="4:15" s="30" customFormat="1" x14ac:dyDescent="0.35">
      <c r="D52" s="29"/>
      <c r="E52" s="29"/>
      <c r="K52" s="32"/>
      <c r="L52" s="32"/>
      <c r="M52" s="32"/>
      <c r="N52" s="32"/>
      <c r="O52" s="32"/>
    </row>
    <row r="53" spans="4:15" s="30" customFormat="1" x14ac:dyDescent="0.35">
      <c r="D53" s="29"/>
      <c r="E53" s="29"/>
      <c r="K53" s="32"/>
      <c r="L53" s="32"/>
      <c r="M53" s="32"/>
      <c r="N53" s="32"/>
      <c r="O53" s="32"/>
    </row>
    <row r="54" spans="4:15" s="30" customFormat="1" x14ac:dyDescent="0.35">
      <c r="D54" s="29"/>
      <c r="E54" s="29"/>
      <c r="K54" s="32"/>
      <c r="L54" s="32"/>
      <c r="M54" s="32"/>
      <c r="N54" s="32"/>
      <c r="O54" s="32"/>
    </row>
    <row r="55" spans="4:15" s="30" customFormat="1" x14ac:dyDescent="0.35">
      <c r="D55" s="29"/>
      <c r="E55" s="29"/>
      <c r="K55" s="32"/>
      <c r="L55" s="32"/>
      <c r="M55" s="32"/>
      <c r="N55" s="32"/>
      <c r="O55" s="32"/>
    </row>
    <row r="56" spans="4:15" s="30" customFormat="1" x14ac:dyDescent="0.35">
      <c r="D56" s="29"/>
      <c r="E56" s="29"/>
      <c r="K56" s="32"/>
      <c r="L56" s="32"/>
      <c r="M56" s="32"/>
      <c r="N56" s="32"/>
      <c r="O56" s="32"/>
    </row>
    <row r="57" spans="4:15" s="30" customFormat="1" x14ac:dyDescent="0.35">
      <c r="D57" s="29"/>
      <c r="E57" s="29"/>
      <c r="K57" s="32"/>
      <c r="L57" s="32"/>
      <c r="M57" s="32"/>
      <c r="N57" s="32"/>
      <c r="O57" s="32"/>
    </row>
    <row r="58" spans="4:15" s="30" customFormat="1" x14ac:dyDescent="0.35">
      <c r="D58" s="29"/>
      <c r="E58" s="29"/>
      <c r="K58" s="32"/>
      <c r="L58" s="32"/>
      <c r="M58" s="32"/>
      <c r="N58" s="32"/>
      <c r="O58" s="32"/>
    </row>
    <row r="59" spans="4:15" s="30" customFormat="1" x14ac:dyDescent="0.35">
      <c r="D59" s="29"/>
      <c r="E59" s="29"/>
      <c r="K59" s="32"/>
      <c r="L59" s="32"/>
      <c r="M59" s="32"/>
      <c r="N59" s="32"/>
      <c r="O59" s="32"/>
    </row>
    <row r="60" spans="4:15" s="30" customFormat="1" x14ac:dyDescent="0.35">
      <c r="D60" s="29"/>
      <c r="E60" s="29"/>
      <c r="K60" s="32"/>
      <c r="L60" s="32"/>
      <c r="M60" s="32"/>
      <c r="N60" s="32"/>
      <c r="O60" s="32"/>
    </row>
    <row r="61" spans="4:15" s="30" customFormat="1" x14ac:dyDescent="0.35">
      <c r="D61" s="29"/>
      <c r="E61" s="29"/>
      <c r="K61" s="32"/>
      <c r="L61" s="32"/>
      <c r="M61" s="32"/>
      <c r="N61" s="32"/>
      <c r="O61" s="32"/>
    </row>
    <row r="62" spans="4:15" s="30" customFormat="1" x14ac:dyDescent="0.35">
      <c r="D62" s="29"/>
      <c r="E62" s="29"/>
      <c r="K62" s="32"/>
      <c r="L62" s="32"/>
      <c r="M62" s="32"/>
      <c r="N62" s="32"/>
      <c r="O62" s="32"/>
    </row>
    <row r="63" spans="4:15" s="30" customFormat="1" x14ac:dyDescent="0.35">
      <c r="D63" s="29"/>
      <c r="E63" s="29"/>
      <c r="K63" s="32"/>
      <c r="L63" s="32"/>
      <c r="M63" s="32"/>
      <c r="N63" s="32"/>
      <c r="O63" s="32"/>
    </row>
    <row r="64" spans="4:15" s="30" customFormat="1" x14ac:dyDescent="0.35">
      <c r="D64" s="29"/>
      <c r="E64" s="29"/>
      <c r="K64" s="32"/>
      <c r="L64" s="32"/>
      <c r="M64" s="32"/>
      <c r="N64" s="32"/>
      <c r="O64" s="32"/>
    </row>
    <row r="65" spans="4:15" s="30" customFormat="1" x14ac:dyDescent="0.35">
      <c r="D65" s="29"/>
      <c r="E65" s="29"/>
      <c r="K65" s="32"/>
      <c r="L65" s="32"/>
      <c r="M65" s="32"/>
      <c r="N65" s="32"/>
      <c r="O65" s="32"/>
    </row>
    <row r="66" spans="4:15" s="30" customFormat="1" x14ac:dyDescent="0.35">
      <c r="D66" s="29"/>
      <c r="E66" s="29"/>
      <c r="K66" s="32"/>
      <c r="L66" s="32"/>
      <c r="M66" s="32"/>
      <c r="N66" s="32"/>
      <c r="O66" s="32"/>
    </row>
    <row r="67" spans="4:15" s="30" customFormat="1" x14ac:dyDescent="0.35">
      <c r="D67" s="29"/>
      <c r="E67" s="29"/>
      <c r="K67" s="32"/>
      <c r="L67" s="32"/>
      <c r="M67" s="32"/>
      <c r="N67" s="32"/>
      <c r="O67" s="32"/>
    </row>
    <row r="68" spans="4:15" s="30" customFormat="1" x14ac:dyDescent="0.35">
      <c r="D68" s="29"/>
      <c r="E68" s="29"/>
      <c r="K68" s="32"/>
      <c r="L68" s="32"/>
      <c r="M68" s="32"/>
      <c r="N68" s="32"/>
      <c r="O68" s="32"/>
    </row>
    <row r="69" spans="4:15" s="30" customFormat="1" x14ac:dyDescent="0.35">
      <c r="D69" s="29"/>
      <c r="E69" s="29"/>
      <c r="K69" s="32"/>
      <c r="L69" s="32"/>
      <c r="M69" s="32"/>
      <c r="N69" s="32"/>
      <c r="O69" s="32"/>
    </row>
    <row r="70" spans="4:15" s="30" customFormat="1" x14ac:dyDescent="0.35">
      <c r="D70" s="29"/>
      <c r="E70" s="29"/>
      <c r="K70" s="32"/>
      <c r="L70" s="32"/>
      <c r="M70" s="32"/>
      <c r="N70" s="32"/>
      <c r="O70" s="32"/>
    </row>
    <row r="71" spans="4:15" s="30" customFormat="1" x14ac:dyDescent="0.35">
      <c r="D71" s="29"/>
      <c r="E71" s="29"/>
      <c r="K71" s="32"/>
      <c r="L71" s="32"/>
      <c r="M71" s="32"/>
      <c r="N71" s="32"/>
      <c r="O71" s="32"/>
    </row>
    <row r="72" spans="4:15" s="30" customFormat="1" x14ac:dyDescent="0.35">
      <c r="D72" s="29"/>
      <c r="E72" s="29"/>
      <c r="K72" s="32"/>
      <c r="L72" s="32"/>
      <c r="M72" s="32"/>
      <c r="N72" s="32"/>
      <c r="O72" s="32"/>
    </row>
    <row r="73" spans="4:15" s="30" customFormat="1" x14ac:dyDescent="0.35">
      <c r="D73" s="29"/>
      <c r="E73" s="29"/>
      <c r="K73" s="32"/>
      <c r="L73" s="32"/>
      <c r="M73" s="32"/>
      <c r="N73" s="32"/>
      <c r="O73" s="32"/>
    </row>
    <row r="74" spans="4:15" s="30" customFormat="1" x14ac:dyDescent="0.35">
      <c r="D74" s="29"/>
      <c r="E74" s="29"/>
      <c r="K74" s="32"/>
      <c r="L74" s="32"/>
      <c r="M74" s="32"/>
      <c r="N74" s="32"/>
      <c r="O74" s="32"/>
    </row>
    <row r="75" spans="4:15" s="30" customFormat="1" x14ac:dyDescent="0.35">
      <c r="D75" s="29"/>
      <c r="E75" s="29"/>
      <c r="K75" s="32"/>
      <c r="L75" s="32"/>
      <c r="M75" s="32"/>
      <c r="N75" s="32"/>
      <c r="O75" s="32"/>
    </row>
    <row r="76" spans="4:15" s="30" customFormat="1" x14ac:dyDescent="0.35">
      <c r="D76" s="29"/>
      <c r="E76" s="29"/>
      <c r="K76" s="32"/>
      <c r="L76" s="32"/>
      <c r="M76" s="32"/>
      <c r="N76" s="32"/>
      <c r="O76" s="32"/>
    </row>
    <row r="77" spans="4:15" s="30" customFormat="1" x14ac:dyDescent="0.35">
      <c r="D77" s="29"/>
      <c r="E77" s="29"/>
      <c r="K77" s="32"/>
      <c r="L77" s="32"/>
      <c r="M77" s="32"/>
      <c r="N77" s="32"/>
      <c r="O77" s="32"/>
    </row>
    <row r="78" spans="4:15" s="30" customFormat="1" x14ac:dyDescent="0.35">
      <c r="D78" s="29"/>
      <c r="E78" s="29"/>
      <c r="K78" s="32"/>
      <c r="L78" s="32"/>
      <c r="M78" s="32"/>
      <c r="N78" s="32"/>
      <c r="O78" s="32"/>
    </row>
    <row r="79" spans="4:15" s="30" customFormat="1" x14ac:dyDescent="0.35">
      <c r="D79" s="29"/>
      <c r="E79" s="29"/>
      <c r="K79" s="32"/>
      <c r="L79" s="32"/>
      <c r="M79" s="32"/>
      <c r="N79" s="32"/>
      <c r="O79" s="32"/>
    </row>
    <row r="80" spans="4:15" s="30" customFormat="1" x14ac:dyDescent="0.35">
      <c r="D80" s="29"/>
      <c r="E80" s="29"/>
      <c r="K80" s="32"/>
      <c r="L80" s="32"/>
      <c r="M80" s="32"/>
      <c r="N80" s="32"/>
      <c r="O80" s="32"/>
    </row>
    <row r="81" spans="4:15" s="30" customFormat="1" x14ac:dyDescent="0.35">
      <c r="D81" s="29"/>
      <c r="E81" s="29"/>
      <c r="K81" s="32"/>
      <c r="L81" s="32"/>
      <c r="M81" s="32"/>
      <c r="N81" s="32"/>
      <c r="O81" s="32"/>
    </row>
    <row r="82" spans="4:15" s="30" customFormat="1" x14ac:dyDescent="0.35">
      <c r="D82" s="29"/>
      <c r="E82" s="29"/>
      <c r="K82" s="32"/>
      <c r="L82" s="32"/>
      <c r="M82" s="32"/>
      <c r="N82" s="32"/>
      <c r="O82" s="32"/>
    </row>
    <row r="83" spans="4:15" s="30" customFormat="1" x14ac:dyDescent="0.35">
      <c r="D83" s="29"/>
      <c r="E83" s="29"/>
      <c r="K83" s="32"/>
      <c r="L83" s="32"/>
      <c r="M83" s="32"/>
      <c r="N83" s="32"/>
      <c r="O83" s="32"/>
    </row>
    <row r="84" spans="4:15" s="30" customFormat="1" x14ac:dyDescent="0.35">
      <c r="D84" s="29"/>
      <c r="E84" s="29"/>
      <c r="K84" s="32"/>
      <c r="L84" s="32"/>
      <c r="M84" s="32"/>
      <c r="N84" s="32"/>
      <c r="O84" s="32"/>
    </row>
    <row r="85" spans="4:15" s="30" customFormat="1" x14ac:dyDescent="0.35">
      <c r="D85" s="29"/>
      <c r="E85" s="29"/>
      <c r="K85" s="32"/>
      <c r="L85" s="32"/>
      <c r="M85" s="32"/>
      <c r="N85" s="32"/>
      <c r="O85" s="32"/>
    </row>
    <row r="86" spans="4:15" s="30" customFormat="1" x14ac:dyDescent="0.35">
      <c r="D86" s="29"/>
      <c r="E86" s="29"/>
      <c r="K86" s="32"/>
      <c r="L86" s="32"/>
      <c r="M86" s="32"/>
      <c r="N86" s="32"/>
      <c r="O86" s="32"/>
    </row>
  </sheetData>
  <mergeCells count="2">
    <mergeCell ref="K7:O7"/>
    <mergeCell ref="F7:J7"/>
  </mergeCells>
  <pageMargins left="0" right="0" top="1" bottom="1" header="0.5" footer="0.5"/>
  <pageSetup scale="70" fitToHeight="4"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484F-6F64-4BB1-A058-A098BEFCA13B}">
  <sheetPr codeName="Sheet45">
    <pageSetUpPr fitToPage="1"/>
  </sheetPr>
  <dimension ref="A1:K70"/>
  <sheetViews>
    <sheetView showGridLines="0" zoomScale="70" zoomScaleNormal="70" workbookViewId="0"/>
  </sheetViews>
  <sheetFormatPr defaultColWidth="9.1796875" defaultRowHeight="14.5" x14ac:dyDescent="0.35"/>
  <cols>
    <col min="1" max="2" width="13.54296875" style="28" customWidth="1"/>
    <col min="3" max="3" width="13.54296875" style="566" customWidth="1"/>
    <col min="4" max="4" width="39.81640625" style="28" customWidth="1"/>
    <col min="5" max="5" width="26.453125" style="28" customWidth="1"/>
    <col min="6" max="10" width="15.54296875" style="28" customWidth="1"/>
    <col min="11" max="11" width="6.1796875" style="28" customWidth="1"/>
    <col min="12" max="16384" width="9.1796875" style="28"/>
  </cols>
  <sheetData>
    <row r="1" spans="1:11" ht="15" customHeight="1" x14ac:dyDescent="0.35">
      <c r="A1" s="81" t="s">
        <v>275</v>
      </c>
    </row>
    <row r="2" spans="1:11" ht="15" customHeight="1" x14ac:dyDescent="0.35"/>
    <row r="3" spans="1:11" ht="15" customHeight="1" x14ac:dyDescent="0.35">
      <c r="D3" s="88" t="str">
        <f>LEFT($D4, FIND(":",$D4)-1)</f>
        <v>Table C10</v>
      </c>
    </row>
    <row r="4" spans="1:11" ht="15" customHeight="1" x14ac:dyDescent="0.35">
      <c r="D4" s="86" t="str">
        <f>ToC!$J$49</f>
        <v>Table C10: BESS Cost Assumptions</v>
      </c>
      <c r="F4" s="35"/>
    </row>
    <row r="5" spans="1:11" ht="6" customHeight="1" thickBot="1" x14ac:dyDescent="0.4">
      <c r="D5" s="416"/>
      <c r="E5" s="85"/>
      <c r="F5" s="85"/>
      <c r="G5" s="85"/>
      <c r="H5" s="85"/>
      <c r="I5" s="85"/>
      <c r="J5" s="85"/>
    </row>
    <row r="6" spans="1:11" ht="6" customHeight="1" thickTop="1" x14ac:dyDescent="0.35">
      <c r="A6" s="415"/>
      <c r="B6" s="415"/>
      <c r="C6" s="567"/>
      <c r="D6" s="714"/>
      <c r="E6" s="417"/>
      <c r="F6" s="418"/>
      <c r="J6" s="419"/>
    </row>
    <row r="7" spans="1:11" ht="12.75" customHeight="1" x14ac:dyDescent="0.35">
      <c r="A7" s="415"/>
      <c r="B7" s="415"/>
      <c r="C7" s="567"/>
      <c r="D7" s="418"/>
      <c r="F7" s="2119" t="s">
        <v>288</v>
      </c>
      <c r="G7" s="121" t="s">
        <v>289</v>
      </c>
      <c r="H7" s="121" t="s">
        <v>290</v>
      </c>
      <c r="I7" s="121" t="s">
        <v>291</v>
      </c>
      <c r="J7" s="2120" t="s">
        <v>299</v>
      </c>
      <c r="K7" s="420"/>
    </row>
    <row r="8" spans="1:11" ht="29" x14ac:dyDescent="0.35">
      <c r="D8" s="1207" t="s">
        <v>357</v>
      </c>
      <c r="E8" s="421" t="s">
        <v>24</v>
      </c>
      <c r="F8" s="422" t="s">
        <v>358</v>
      </c>
      <c r="G8" s="423" t="s">
        <v>358</v>
      </c>
      <c r="H8" s="423" t="s">
        <v>358</v>
      </c>
      <c r="I8" s="423" t="s">
        <v>358</v>
      </c>
      <c r="J8" s="424" t="s">
        <v>358</v>
      </c>
      <c r="K8" s="425"/>
    </row>
    <row r="9" spans="1:11" ht="6" customHeight="1" x14ac:dyDescent="0.35">
      <c r="D9" s="1208"/>
      <c r="E9" s="426"/>
      <c r="F9" s="427"/>
      <c r="G9" s="428"/>
      <c r="H9" s="428"/>
      <c r="I9" s="428"/>
      <c r="J9" s="429"/>
      <c r="K9" s="428"/>
    </row>
    <row r="10" spans="1:11" ht="6" customHeight="1" x14ac:dyDescent="0.35">
      <c r="D10" s="418"/>
      <c r="F10" s="430"/>
      <c r="G10" s="431"/>
      <c r="H10" s="431"/>
      <c r="I10" s="431"/>
      <c r="J10" s="432"/>
      <c r="K10" s="428"/>
    </row>
    <row r="11" spans="1:11" x14ac:dyDescent="0.35">
      <c r="D11" s="527" t="s">
        <v>359</v>
      </c>
      <c r="E11" s="522"/>
      <c r="F11" s="523"/>
      <c r="G11" s="522"/>
      <c r="H11" s="521"/>
      <c r="I11" s="522"/>
      <c r="J11" s="524"/>
      <c r="K11" s="433"/>
    </row>
    <row r="12" spans="1:11" x14ac:dyDescent="0.35">
      <c r="A12" s="434"/>
      <c r="B12" s="434"/>
      <c r="C12" s="568"/>
      <c r="D12" s="1209" t="s">
        <v>360</v>
      </c>
      <c r="E12" s="480" t="s">
        <v>361</v>
      </c>
      <c r="F12" s="481" t="s">
        <v>362</v>
      </c>
      <c r="G12" s="482" t="s">
        <v>362</v>
      </c>
      <c r="H12" s="482" t="s">
        <v>362</v>
      </c>
      <c r="I12" s="482" t="s">
        <v>362</v>
      </c>
      <c r="J12" s="483" t="s">
        <v>362</v>
      </c>
      <c r="K12" s="435"/>
    </row>
    <row r="13" spans="1:11" ht="12.75" customHeight="1" x14ac:dyDescent="0.35">
      <c r="D13" s="1209" t="s">
        <v>363</v>
      </c>
      <c r="E13" s="480" t="s">
        <v>116</v>
      </c>
      <c r="F13" s="484">
        <v>200</v>
      </c>
      <c r="G13" s="485">
        <v>200</v>
      </c>
      <c r="H13" s="485">
        <v>200</v>
      </c>
      <c r="I13" s="485">
        <v>200</v>
      </c>
      <c r="J13" s="486">
        <v>200</v>
      </c>
      <c r="K13" s="436"/>
    </row>
    <row r="14" spans="1:11" ht="12.75" customHeight="1" x14ac:dyDescent="0.35">
      <c r="D14" s="1209" t="s">
        <v>364</v>
      </c>
      <c r="E14" s="480" t="s">
        <v>365</v>
      </c>
      <c r="F14" s="484">
        <v>4</v>
      </c>
      <c r="G14" s="485">
        <v>4</v>
      </c>
      <c r="H14" s="485">
        <v>4</v>
      </c>
      <c r="I14" s="485">
        <v>4</v>
      </c>
      <c r="J14" s="486">
        <v>4</v>
      </c>
      <c r="K14" s="436"/>
    </row>
    <row r="15" spans="1:11" ht="12.75" customHeight="1" x14ac:dyDescent="0.35">
      <c r="D15" s="1209" t="s">
        <v>117</v>
      </c>
      <c r="E15" s="480" t="s">
        <v>118</v>
      </c>
      <c r="F15" s="484">
        <v>20</v>
      </c>
      <c r="G15" s="485">
        <v>20</v>
      </c>
      <c r="H15" s="485">
        <v>20</v>
      </c>
      <c r="I15" s="485">
        <v>20</v>
      </c>
      <c r="J15" s="486">
        <v>20</v>
      </c>
      <c r="K15" s="436"/>
    </row>
    <row r="16" spans="1:11" ht="12.75" customHeight="1" x14ac:dyDescent="0.35">
      <c r="D16" s="1209" t="s">
        <v>119</v>
      </c>
      <c r="E16" s="480" t="s">
        <v>120</v>
      </c>
      <c r="F16" s="484">
        <v>60</v>
      </c>
      <c r="G16" s="485">
        <v>60</v>
      </c>
      <c r="H16" s="485">
        <v>60</v>
      </c>
      <c r="I16" s="485">
        <v>60</v>
      </c>
      <c r="J16" s="486">
        <v>60</v>
      </c>
      <c r="K16" s="436"/>
    </row>
    <row r="17" spans="1:11" ht="12.75" customHeight="1" x14ac:dyDescent="0.35">
      <c r="D17" s="1209" t="s">
        <v>121</v>
      </c>
      <c r="E17" s="480" t="s">
        <v>10</v>
      </c>
      <c r="F17" s="487">
        <v>0.02</v>
      </c>
      <c r="G17" s="488">
        <v>0.02</v>
      </c>
      <c r="H17" s="488">
        <v>0.02</v>
      </c>
      <c r="I17" s="488">
        <v>0.02</v>
      </c>
      <c r="J17" s="489">
        <v>0.02</v>
      </c>
      <c r="K17" s="437"/>
    </row>
    <row r="18" spans="1:11" ht="12.75" customHeight="1" x14ac:dyDescent="0.35">
      <c r="D18" s="1275" t="s">
        <v>122</v>
      </c>
      <c r="E18" s="480"/>
      <c r="F18" s="481"/>
      <c r="G18" s="482"/>
      <c r="H18" s="482"/>
      <c r="I18" s="482"/>
      <c r="J18" s="483"/>
      <c r="K18" s="435"/>
    </row>
    <row r="19" spans="1:11" ht="12.75" customHeight="1" x14ac:dyDescent="0.35">
      <c r="D19" s="1276" t="s">
        <v>123</v>
      </c>
      <c r="E19" s="480" t="s">
        <v>10</v>
      </c>
      <c r="F19" s="490">
        <v>5.0000000000000001E-4</v>
      </c>
      <c r="G19" s="491">
        <v>5.0000000000000001E-4</v>
      </c>
      <c r="H19" s="491">
        <v>5.0000000000000001E-4</v>
      </c>
      <c r="I19" s="491">
        <v>5.0000000000000001E-4</v>
      </c>
      <c r="J19" s="492">
        <v>5.0000000000000001E-4</v>
      </c>
      <c r="K19" s="438"/>
    </row>
    <row r="20" spans="1:11" x14ac:dyDescent="0.35">
      <c r="D20" s="1276" t="s">
        <v>124</v>
      </c>
      <c r="E20" s="480" t="s">
        <v>10</v>
      </c>
      <c r="F20" s="493">
        <v>5.0000000000000001E-3</v>
      </c>
      <c r="G20" s="494">
        <v>5.0000000000000001E-3</v>
      </c>
      <c r="H20" s="494">
        <v>5.0000000000000001E-3</v>
      </c>
      <c r="I20" s="494">
        <v>5.0000000000000001E-3</v>
      </c>
      <c r="J20" s="495">
        <v>5.0000000000000001E-3</v>
      </c>
      <c r="K20" s="439"/>
    </row>
    <row r="21" spans="1:11" x14ac:dyDescent="0.35">
      <c r="D21" s="1276" t="s">
        <v>125</v>
      </c>
      <c r="E21" s="480" t="s">
        <v>10</v>
      </c>
      <c r="F21" s="493">
        <v>0.03</v>
      </c>
      <c r="G21" s="494">
        <v>0.03</v>
      </c>
      <c r="H21" s="494">
        <v>0.03</v>
      </c>
      <c r="I21" s="494">
        <v>0.03</v>
      </c>
      <c r="J21" s="495">
        <v>0.03</v>
      </c>
      <c r="K21" s="439"/>
    </row>
    <row r="22" spans="1:11" ht="12.75" customHeight="1" x14ac:dyDescent="0.35">
      <c r="D22" s="1276" t="s">
        <v>126</v>
      </c>
      <c r="E22" s="480" t="s">
        <v>10</v>
      </c>
      <c r="F22" s="493">
        <v>3.0000000000000001E-3</v>
      </c>
      <c r="G22" s="494">
        <v>3.0000000000000001E-3</v>
      </c>
      <c r="H22" s="494">
        <v>3.0000000000000001E-3</v>
      </c>
      <c r="I22" s="494">
        <v>3.0000000000000001E-3</v>
      </c>
      <c r="J22" s="495">
        <v>3.0000000000000001E-3</v>
      </c>
      <c r="K22" s="439"/>
    </row>
    <row r="23" spans="1:11" ht="12.75" customHeight="1" x14ac:dyDescent="0.35">
      <c r="D23" s="1276" t="s">
        <v>127</v>
      </c>
      <c r="E23" s="480" t="s">
        <v>10</v>
      </c>
      <c r="F23" s="490">
        <v>7.3000000000000001E-3</v>
      </c>
      <c r="G23" s="491">
        <v>7.3000000000000001E-3</v>
      </c>
      <c r="H23" s="491">
        <v>7.3000000000000001E-3</v>
      </c>
      <c r="I23" s="491">
        <v>7.3000000000000001E-3</v>
      </c>
      <c r="J23" s="492">
        <v>7.3000000000000001E-3</v>
      </c>
      <c r="K23" s="438"/>
    </row>
    <row r="24" spans="1:11" x14ac:dyDescent="0.35">
      <c r="A24" s="440"/>
      <c r="B24" s="440"/>
      <c r="C24" s="569"/>
      <c r="D24" s="1276" t="s">
        <v>128</v>
      </c>
      <c r="E24" s="480" t="s">
        <v>10</v>
      </c>
      <c r="F24" s="496">
        <v>4.58E-2</v>
      </c>
      <c r="G24" s="497">
        <v>4.58E-2</v>
      </c>
      <c r="H24" s="497">
        <v>4.58E-2</v>
      </c>
      <c r="I24" s="497">
        <v>4.58E-2</v>
      </c>
      <c r="J24" s="498">
        <v>4.58E-2</v>
      </c>
      <c r="K24" s="441"/>
    </row>
    <row r="25" spans="1:11" x14ac:dyDescent="0.35">
      <c r="D25" s="1209" t="s">
        <v>129</v>
      </c>
      <c r="E25" s="480" t="s">
        <v>116</v>
      </c>
      <c r="F25" s="499">
        <v>209.59966464053656</v>
      </c>
      <c r="G25" s="500">
        <v>209.59966464053656</v>
      </c>
      <c r="H25" s="500">
        <v>209.59966464053656</v>
      </c>
      <c r="I25" s="500">
        <v>209.59966464053656</v>
      </c>
      <c r="J25" s="501">
        <v>209.59966464053656</v>
      </c>
      <c r="K25" s="442"/>
    </row>
    <row r="26" spans="1:11" x14ac:dyDescent="0.35">
      <c r="D26" s="1210" t="s">
        <v>130</v>
      </c>
      <c r="E26" s="480" t="s">
        <v>4</v>
      </c>
      <c r="F26" s="502">
        <v>2.65</v>
      </c>
      <c r="G26" s="503">
        <v>2.65</v>
      </c>
      <c r="H26" s="503">
        <v>2.65</v>
      </c>
      <c r="I26" s="503">
        <v>2.65</v>
      </c>
      <c r="J26" s="504">
        <v>2.65</v>
      </c>
      <c r="K26" s="443"/>
    </row>
    <row r="27" spans="1:11" ht="12.75" customHeight="1" x14ac:dyDescent="0.35">
      <c r="D27" s="1209" t="s">
        <v>131</v>
      </c>
      <c r="E27" s="480" t="s">
        <v>10</v>
      </c>
      <c r="F27" s="505">
        <v>1.6E-2</v>
      </c>
      <c r="G27" s="506">
        <v>1.6E-2</v>
      </c>
      <c r="H27" s="506">
        <v>1.6E-2</v>
      </c>
      <c r="I27" s="506">
        <v>1.6E-2</v>
      </c>
      <c r="J27" s="507">
        <v>1.6E-2</v>
      </c>
      <c r="K27" s="444"/>
    </row>
    <row r="28" spans="1:11" ht="12.75" customHeight="1" x14ac:dyDescent="0.35">
      <c r="D28" s="1275" t="s">
        <v>132</v>
      </c>
      <c r="E28" s="480"/>
      <c r="F28" s="481"/>
      <c r="G28" s="482"/>
      <c r="H28" s="482"/>
      <c r="I28" s="482"/>
      <c r="J28" s="483"/>
      <c r="K28" s="435"/>
    </row>
    <row r="29" spans="1:11" x14ac:dyDescent="0.35">
      <c r="D29" s="1276" t="s">
        <v>133</v>
      </c>
      <c r="E29" s="480" t="s">
        <v>10</v>
      </c>
      <c r="F29" s="508">
        <v>4.4999999999999998E-2</v>
      </c>
      <c r="G29" s="509">
        <v>4.4999999999999998E-2</v>
      </c>
      <c r="H29" s="509">
        <v>4.4999999999999998E-2</v>
      </c>
      <c r="I29" s="509">
        <v>4.4999999999999998E-2</v>
      </c>
      <c r="J29" s="510">
        <v>4.4999999999999998E-2</v>
      </c>
      <c r="K29" s="445"/>
    </row>
    <row r="30" spans="1:11" x14ac:dyDescent="0.35">
      <c r="D30" s="1276" t="s">
        <v>134</v>
      </c>
      <c r="E30" s="480" t="s">
        <v>10</v>
      </c>
      <c r="F30" s="508">
        <v>1.55E-2</v>
      </c>
      <c r="G30" s="509">
        <v>1.55E-2</v>
      </c>
      <c r="H30" s="509">
        <v>1.55E-2</v>
      </c>
      <c r="I30" s="509">
        <v>1.55E-2</v>
      </c>
      <c r="J30" s="510">
        <v>1.55E-2</v>
      </c>
      <c r="K30" s="445"/>
    </row>
    <row r="31" spans="1:11" x14ac:dyDescent="0.35">
      <c r="D31" s="1277" t="s">
        <v>135</v>
      </c>
      <c r="E31" s="480" t="s">
        <v>136</v>
      </c>
      <c r="F31" s="502">
        <v>5</v>
      </c>
      <c r="G31" s="503">
        <v>5</v>
      </c>
      <c r="H31" s="503">
        <v>5</v>
      </c>
      <c r="I31" s="503">
        <v>5</v>
      </c>
      <c r="J31" s="504">
        <v>5</v>
      </c>
      <c r="K31" s="443"/>
    </row>
    <row r="32" spans="1:11" ht="12.75" customHeight="1" x14ac:dyDescent="0.35">
      <c r="D32" s="1276" t="s">
        <v>137</v>
      </c>
      <c r="E32" s="480" t="s">
        <v>10</v>
      </c>
      <c r="F32" s="511">
        <v>0.10284753757984011</v>
      </c>
      <c r="G32" s="512">
        <v>0.10284753757984011</v>
      </c>
      <c r="H32" s="512">
        <v>0.10284753757984011</v>
      </c>
      <c r="I32" s="512">
        <v>0.10284753757984011</v>
      </c>
      <c r="J32" s="513">
        <v>0.10284753757984011</v>
      </c>
      <c r="K32" s="446"/>
    </row>
    <row r="33" spans="1:11" x14ac:dyDescent="0.35">
      <c r="D33" s="1209" t="s">
        <v>138</v>
      </c>
      <c r="E33" s="480" t="s">
        <v>10</v>
      </c>
      <c r="F33" s="493">
        <v>1</v>
      </c>
      <c r="G33" s="494">
        <v>1</v>
      </c>
      <c r="H33" s="494">
        <v>1</v>
      </c>
      <c r="I33" s="494">
        <v>1</v>
      </c>
      <c r="J33" s="495">
        <v>1</v>
      </c>
      <c r="K33" s="439"/>
    </row>
    <row r="34" spans="1:11" x14ac:dyDescent="0.35">
      <c r="D34" s="1209" t="s">
        <v>139</v>
      </c>
      <c r="E34" s="480" t="s">
        <v>10</v>
      </c>
      <c r="F34" s="505">
        <v>0.05</v>
      </c>
      <c r="G34" s="506">
        <v>0.05</v>
      </c>
      <c r="H34" s="506">
        <v>0.05</v>
      </c>
      <c r="I34" s="506">
        <v>0.05</v>
      </c>
      <c r="J34" s="507">
        <v>0.05</v>
      </c>
      <c r="K34" s="444"/>
    </row>
    <row r="35" spans="1:11" ht="12.75" customHeight="1" x14ac:dyDescent="0.35">
      <c r="D35" s="1209" t="s">
        <v>140</v>
      </c>
      <c r="E35" s="480" t="s">
        <v>10</v>
      </c>
      <c r="F35" s="493">
        <v>0.11106719999999999</v>
      </c>
      <c r="G35" s="494">
        <v>0.11106719999999999</v>
      </c>
      <c r="H35" s="494">
        <v>0.11106719999999999</v>
      </c>
      <c r="I35" s="494">
        <v>0.11106719999999999</v>
      </c>
      <c r="J35" s="495">
        <v>0.11106719999999999</v>
      </c>
      <c r="K35" s="439"/>
    </row>
    <row r="36" spans="1:11" ht="12.75" customHeight="1" x14ac:dyDescent="0.35">
      <c r="D36" s="1209" t="s">
        <v>141</v>
      </c>
      <c r="E36" s="480" t="s">
        <v>96</v>
      </c>
      <c r="F36" s="514">
        <v>1008.7182514275261</v>
      </c>
      <c r="G36" s="515">
        <v>1008.7182514275261</v>
      </c>
      <c r="H36" s="515">
        <v>1008.7182514275261</v>
      </c>
      <c r="I36" s="515">
        <v>1008.7182514275261</v>
      </c>
      <c r="J36" s="516">
        <v>1008.7182514275261</v>
      </c>
      <c r="K36" s="447"/>
    </row>
    <row r="37" spans="1:11" x14ac:dyDescent="0.35">
      <c r="D37" s="1209" t="s">
        <v>366</v>
      </c>
      <c r="E37" s="480" t="s">
        <v>10</v>
      </c>
      <c r="F37" s="508">
        <v>0.26089781428440761</v>
      </c>
      <c r="G37" s="509">
        <v>0.26089781428440761</v>
      </c>
      <c r="H37" s="509">
        <v>0.26089781428440761</v>
      </c>
      <c r="I37" s="509">
        <v>0.26089781428440761</v>
      </c>
      <c r="J37" s="510">
        <v>0.26089781428440761</v>
      </c>
      <c r="K37" s="2227"/>
    </row>
    <row r="38" spans="1:11" x14ac:dyDescent="0.35">
      <c r="D38" s="1209" t="s">
        <v>142</v>
      </c>
      <c r="E38" s="517" t="s">
        <v>95</v>
      </c>
      <c r="F38" s="499">
        <v>5</v>
      </c>
      <c r="G38" s="500">
        <v>5</v>
      </c>
      <c r="H38" s="500">
        <v>5</v>
      </c>
      <c r="I38" s="500">
        <v>5</v>
      </c>
      <c r="J38" s="501">
        <v>5</v>
      </c>
      <c r="K38" s="442"/>
    </row>
    <row r="39" spans="1:11" x14ac:dyDescent="0.35">
      <c r="D39" s="1209" t="s">
        <v>143</v>
      </c>
      <c r="E39" s="517" t="s">
        <v>96</v>
      </c>
      <c r="F39" s="499">
        <v>58</v>
      </c>
      <c r="G39" s="500">
        <v>58</v>
      </c>
      <c r="H39" s="500">
        <v>58</v>
      </c>
      <c r="I39" s="500">
        <v>58</v>
      </c>
      <c r="J39" s="501">
        <v>58</v>
      </c>
      <c r="K39" s="442"/>
    </row>
    <row r="40" spans="1:11" x14ac:dyDescent="0.35">
      <c r="D40" s="1210"/>
      <c r="E40" s="480"/>
      <c r="F40" s="502"/>
      <c r="G40" s="503"/>
      <c r="H40" s="503"/>
      <c r="I40" s="503"/>
      <c r="J40" s="504"/>
      <c r="K40" s="443"/>
    </row>
    <row r="41" spans="1:11" ht="12.75" customHeight="1" x14ac:dyDescent="0.35">
      <c r="D41" s="1210" t="s">
        <v>367</v>
      </c>
      <c r="E41" s="480" t="s">
        <v>368</v>
      </c>
      <c r="F41" s="518">
        <v>0.02</v>
      </c>
      <c r="G41" s="519">
        <v>0.02</v>
      </c>
      <c r="H41" s="519">
        <v>0.02</v>
      </c>
      <c r="I41" s="519">
        <v>0.02</v>
      </c>
      <c r="J41" s="520">
        <v>0.02</v>
      </c>
      <c r="K41" s="448"/>
    </row>
    <row r="42" spans="1:11" ht="6" customHeight="1" x14ac:dyDescent="0.35">
      <c r="D42" s="1212"/>
      <c r="E42" s="449"/>
      <c r="F42" s="450"/>
      <c r="G42" s="448"/>
      <c r="H42" s="448"/>
      <c r="I42" s="448"/>
      <c r="J42" s="451"/>
      <c r="K42" s="448"/>
    </row>
    <row r="43" spans="1:11" ht="6" customHeight="1" x14ac:dyDescent="0.35">
      <c r="D43" s="1213"/>
      <c r="E43" s="452"/>
      <c r="F43" s="453"/>
      <c r="G43" s="454"/>
      <c r="H43" s="454"/>
      <c r="I43" s="454"/>
      <c r="J43" s="455"/>
      <c r="K43" s="448"/>
    </row>
    <row r="44" spans="1:11" x14ac:dyDescent="0.35">
      <c r="D44" s="527" t="s">
        <v>231</v>
      </c>
      <c r="E44" s="526"/>
      <c r="F44" s="527"/>
      <c r="G44" s="526"/>
      <c r="H44" s="525"/>
      <c r="I44" s="526"/>
      <c r="J44" s="528"/>
      <c r="K44" s="433"/>
    </row>
    <row r="45" spans="1:11" x14ac:dyDescent="0.35">
      <c r="D45" s="1214" t="s">
        <v>77</v>
      </c>
      <c r="E45" s="480" t="s">
        <v>78</v>
      </c>
      <c r="F45" s="529" t="s">
        <v>369</v>
      </c>
      <c r="G45" s="530" t="s">
        <v>369</v>
      </c>
      <c r="H45" s="530" t="s">
        <v>369</v>
      </c>
      <c r="I45" s="530" t="s">
        <v>369</v>
      </c>
      <c r="J45" s="531" t="s">
        <v>369</v>
      </c>
      <c r="K45" s="456"/>
    </row>
    <row r="46" spans="1:11" x14ac:dyDescent="0.35">
      <c r="D46" s="1214" t="s">
        <v>79</v>
      </c>
      <c r="E46" s="480" t="s">
        <v>78</v>
      </c>
      <c r="F46" s="529" t="s">
        <v>369</v>
      </c>
      <c r="G46" s="530" t="s">
        <v>369</v>
      </c>
      <c r="H46" s="530" t="s">
        <v>369</v>
      </c>
      <c r="I46" s="530" t="s">
        <v>369</v>
      </c>
      <c r="J46" s="531" t="s">
        <v>369</v>
      </c>
      <c r="K46" s="456"/>
    </row>
    <row r="47" spans="1:11" s="458" customFormat="1" x14ac:dyDescent="0.35">
      <c r="A47" s="28"/>
      <c r="B47" s="28"/>
      <c r="C47" s="566"/>
      <c r="D47" s="1214" t="s">
        <v>80</v>
      </c>
      <c r="E47" s="480" t="s">
        <v>81</v>
      </c>
      <c r="F47" s="532">
        <v>0.05</v>
      </c>
      <c r="G47" s="533">
        <v>0.05</v>
      </c>
      <c r="H47" s="533">
        <v>0.05</v>
      </c>
      <c r="I47" s="533">
        <v>0.05</v>
      </c>
      <c r="J47" s="534">
        <v>0.05</v>
      </c>
      <c r="K47" s="457"/>
    </row>
    <row r="48" spans="1:11" s="458" customFormat="1" x14ac:dyDescent="0.35">
      <c r="A48" s="28"/>
      <c r="B48" s="28"/>
      <c r="C48" s="566"/>
      <c r="D48" s="1214" t="s">
        <v>82</v>
      </c>
      <c r="E48" s="480" t="s">
        <v>81</v>
      </c>
      <c r="F48" s="532">
        <v>0.01</v>
      </c>
      <c r="G48" s="533">
        <v>0.01</v>
      </c>
      <c r="H48" s="533">
        <v>0.01</v>
      </c>
      <c r="I48" s="533">
        <v>0.01</v>
      </c>
      <c r="J48" s="534">
        <v>0.01</v>
      </c>
      <c r="K48" s="457"/>
    </row>
    <row r="49" spans="1:11" s="458" customFormat="1" x14ac:dyDescent="0.35">
      <c r="A49" s="28"/>
      <c r="B49" s="28"/>
      <c r="C49" s="566"/>
      <c r="D49" s="1214" t="s">
        <v>83</v>
      </c>
      <c r="E49" s="480" t="s">
        <v>81</v>
      </c>
      <c r="F49" s="532" t="s">
        <v>369</v>
      </c>
      <c r="G49" s="533" t="s">
        <v>369</v>
      </c>
      <c r="H49" s="533" t="s">
        <v>369</v>
      </c>
      <c r="I49" s="533" t="s">
        <v>369</v>
      </c>
      <c r="J49" s="534" t="s">
        <v>369</v>
      </c>
      <c r="K49" s="457"/>
    </row>
    <row r="50" spans="1:11" ht="12.75" customHeight="1" x14ac:dyDescent="0.35">
      <c r="D50" s="1215" t="s">
        <v>144</v>
      </c>
      <c r="E50" s="535" t="s">
        <v>370</v>
      </c>
      <c r="F50" s="536">
        <v>0.05</v>
      </c>
      <c r="G50" s="537">
        <v>0.05</v>
      </c>
      <c r="H50" s="537">
        <v>0.05</v>
      </c>
      <c r="I50" s="537">
        <v>0.05</v>
      </c>
      <c r="J50" s="538">
        <v>0.05</v>
      </c>
      <c r="K50" s="459"/>
    </row>
    <row r="51" spans="1:11" ht="14.25" customHeight="1" x14ac:dyDescent="0.35">
      <c r="D51" s="1217" t="s">
        <v>85</v>
      </c>
      <c r="E51" s="543" t="s">
        <v>480</v>
      </c>
      <c r="F51" s="1086">
        <v>0.04</v>
      </c>
      <c r="G51" s="1087">
        <v>0.04</v>
      </c>
      <c r="H51" s="1087">
        <v>0.04</v>
      </c>
      <c r="I51" s="1087">
        <v>0.04</v>
      </c>
      <c r="J51" s="1088">
        <v>0.04</v>
      </c>
      <c r="K51" s="459"/>
    </row>
    <row r="52" spans="1:11" x14ac:dyDescent="0.35">
      <c r="D52" s="1217" t="s">
        <v>371</v>
      </c>
      <c r="E52" s="543" t="s">
        <v>412</v>
      </c>
      <c r="F52" s="710">
        <f>'Construction Costs'!$I$24</f>
        <v>4.7094157243421364E-3</v>
      </c>
      <c r="G52" s="711">
        <f>'Construction Costs'!$I$24</f>
        <v>4.7094157243421364E-3</v>
      </c>
      <c r="H52" s="711">
        <f>'Construction Costs'!$I$24</f>
        <v>4.7094157243421364E-3</v>
      </c>
      <c r="I52" s="711">
        <f>'Construction Costs'!$I$24</f>
        <v>4.7094157243421364E-3</v>
      </c>
      <c r="J52" s="712">
        <f>'Construction Costs'!$I$24</f>
        <v>4.7094157243421364E-3</v>
      </c>
      <c r="K52" s="460"/>
    </row>
    <row r="53" spans="1:11" ht="12.75" customHeight="1" x14ac:dyDescent="0.35">
      <c r="D53" s="1218" t="s">
        <v>87</v>
      </c>
      <c r="E53" s="544" t="s">
        <v>372</v>
      </c>
      <c r="F53" s="574">
        <f>(F$54*F$13*1000+F$55)/10^6</f>
        <v>10.932563442451565</v>
      </c>
      <c r="G53" s="575">
        <f>(G$54*G$13*1000+G$55)/10^6</f>
        <v>10.932563442451565</v>
      </c>
      <c r="H53" s="575">
        <f>(H$54*H$13*1000+H$55)/10^6</f>
        <v>10.932563442451565</v>
      </c>
      <c r="I53" s="575">
        <f>(I$54*I$13*1000+I$55)/10^6</f>
        <v>10.932563442451565</v>
      </c>
      <c r="J53" s="576">
        <f>(J$54*J$13*1000+J$55)/10^6</f>
        <v>10.932563442451565</v>
      </c>
      <c r="K53" s="461"/>
    </row>
    <row r="54" spans="1:11" ht="12.75" customHeight="1" x14ac:dyDescent="0.35">
      <c r="D54" s="1219" t="s">
        <v>373</v>
      </c>
      <c r="E54" s="544" t="s">
        <v>374</v>
      </c>
      <c r="F54" s="1032">
        <v>54.662817212257821</v>
      </c>
      <c r="G54" s="1033">
        <v>54.662817212257821</v>
      </c>
      <c r="H54" s="1033">
        <v>54.662817212257821</v>
      </c>
      <c r="I54" s="1033">
        <v>54.662817212257821</v>
      </c>
      <c r="J54" s="1034">
        <v>54.662817212257821</v>
      </c>
      <c r="K54" s="462"/>
    </row>
    <row r="55" spans="1:11" ht="12.75" customHeight="1" x14ac:dyDescent="0.35">
      <c r="D55" s="1220" t="s">
        <v>375</v>
      </c>
      <c r="E55" s="544" t="s">
        <v>372</v>
      </c>
      <c r="F55" s="1036">
        <v>0</v>
      </c>
      <c r="G55" s="548">
        <v>0</v>
      </c>
      <c r="H55" s="548">
        <v>0</v>
      </c>
      <c r="I55" s="548">
        <v>0</v>
      </c>
      <c r="J55" s="549">
        <v>0</v>
      </c>
      <c r="K55" s="942"/>
    </row>
    <row r="56" spans="1:11" ht="12.75" customHeight="1" x14ac:dyDescent="0.35">
      <c r="D56" s="1218" t="s">
        <v>90</v>
      </c>
      <c r="E56" s="550" t="s">
        <v>302</v>
      </c>
      <c r="F56" s="547">
        <f>F$57*F$58</f>
        <v>1277002.2515278226</v>
      </c>
      <c r="G56" s="581">
        <f>G$57*G$58</f>
        <v>1202179.9307958477</v>
      </c>
      <c r="H56" s="581">
        <f>H$57*H$58</f>
        <v>517186.88708321657</v>
      </c>
      <c r="I56" s="581">
        <f>I$57*I$58</f>
        <v>1101919.6210907572</v>
      </c>
      <c r="J56" s="552">
        <f>J$57*J$58</f>
        <v>1415090.5249895002</v>
      </c>
      <c r="K56" s="463"/>
    </row>
    <row r="57" spans="1:11" ht="12.75" customHeight="1" x14ac:dyDescent="0.35">
      <c r="D57" s="1219" t="s">
        <v>376</v>
      </c>
      <c r="E57" s="550" t="s">
        <v>377</v>
      </c>
      <c r="F57" s="553">
        <f>_xlfn.XLOOKUP(F$7,'Land Cost'!$D$12:$D$16,'Land Cost'!$G$12:$G$16)</f>
        <v>106416.85429398521</v>
      </c>
      <c r="G57" s="577">
        <f>_xlfn.XLOOKUP(G$7,'Land Cost'!$D$12:$D$16,'Land Cost'!$G$12:$G$16)</f>
        <v>100181.66089965397</v>
      </c>
      <c r="H57" s="577">
        <f>_xlfn.XLOOKUP(H$7,'Land Cost'!$D$12:$D$16,'Land Cost'!$G$12:$G$16)</f>
        <v>43098.907256934712</v>
      </c>
      <c r="I57" s="577">
        <f>_xlfn.XLOOKUP(I$7,'Land Cost'!$D$12:$D$16,'Land Cost'!$G$12:$G$16)</f>
        <v>91826.635090896438</v>
      </c>
      <c r="J57" s="554">
        <f>_xlfn.XLOOKUP(J$7,'Land Cost'!$D$12:$D$16,'Land Cost'!$G$12:$G$16)</f>
        <v>117924.21041579169</v>
      </c>
      <c r="K57" s="464"/>
    </row>
    <row r="58" spans="1:11" ht="12.75" customHeight="1" x14ac:dyDescent="0.35">
      <c r="D58" s="1221" t="s">
        <v>91</v>
      </c>
      <c r="E58" s="539" t="s">
        <v>92</v>
      </c>
      <c r="F58" s="540">
        <v>12</v>
      </c>
      <c r="G58" s="541">
        <v>12</v>
      </c>
      <c r="H58" s="541">
        <v>12</v>
      </c>
      <c r="I58" s="541">
        <v>12</v>
      </c>
      <c r="J58" s="542">
        <v>12</v>
      </c>
      <c r="K58" s="465"/>
    </row>
    <row r="59" spans="1:11" ht="12.75" customHeight="1" x14ac:dyDescent="0.35">
      <c r="D59" s="1217" t="s">
        <v>378</v>
      </c>
      <c r="E59" s="543" t="s">
        <v>10</v>
      </c>
      <c r="F59" s="1082">
        <f>_xlfn.XLOOKUP(F$7,'Working Cap and Tax Rates'!$G$16:$K$16,'Working Cap and Tax Rates'!$G$21:$K$21)</f>
        <v>0</v>
      </c>
      <c r="G59" s="1083">
        <f>_xlfn.XLOOKUP(G$7,'Working Cap and Tax Rates'!$G$16:$K$16,'Working Cap and Tax Rates'!$G$21:$K$21)</f>
        <v>0</v>
      </c>
      <c r="H59" s="1083">
        <f>_xlfn.XLOOKUP(H$7,'Working Cap and Tax Rates'!$G$16:$K$16,'Working Cap and Tax Rates'!$G$21:$K$21)</f>
        <v>0</v>
      </c>
      <c r="I59" s="1083">
        <f>_xlfn.XLOOKUP(I$7,'Working Cap and Tax Rates'!$G$16:$K$16,'Working Cap and Tax Rates'!$G$21:$K$21)</f>
        <v>0</v>
      </c>
      <c r="J59" s="1084">
        <f>_xlfn.XLOOKUP(J$7,'Working Cap and Tax Rates'!$G$16:$K$16,'Working Cap and Tax Rates'!$G$21:$K$21)</f>
        <v>6.25E-2</v>
      </c>
      <c r="K59" s="466"/>
    </row>
    <row r="60" spans="1:11" ht="12.75" customHeight="1" x14ac:dyDescent="0.35">
      <c r="D60" s="1217" t="s">
        <v>379</v>
      </c>
      <c r="E60" s="543" t="s">
        <v>10</v>
      </c>
      <c r="F60" s="578">
        <f>_xlfn.XLOOKUP(F$7,'Working Cap and Tax Rates'!$G$16:$K$16,'Working Cap and Tax Rates'!$G$20:$K$20)</f>
        <v>0.09</v>
      </c>
      <c r="G60" s="579">
        <f>_xlfn.XLOOKUP(G$7,'Working Cap and Tax Rates'!$G$16:$K$16,'Working Cap and Tax Rates'!$G$20:$K$20)</f>
        <v>8.2500000000000004E-2</v>
      </c>
      <c r="H60" s="579">
        <f>_xlfn.XLOOKUP(H$7,'Working Cap and Tax Rates'!$G$16:$K$16,'Working Cap and Tax Rates'!$G$20:$K$20)</f>
        <v>7.9899999999999999E-2</v>
      </c>
      <c r="I60" s="579">
        <f>_xlfn.XLOOKUP(I$7,'Working Cap and Tax Rates'!$G$16:$K$16,'Working Cap and Tax Rates'!$G$20:$K$20)</f>
        <v>7.9899999999999999E-2</v>
      </c>
      <c r="J60" s="580">
        <f>_xlfn.XLOOKUP(J$7,'Working Cap and Tax Rates'!$G$16:$K$16,'Working Cap and Tax Rates'!$G$20:$K$20)</f>
        <v>9.5000000000000001E-2</v>
      </c>
      <c r="K60" s="467"/>
    </row>
    <row r="61" spans="1:11" ht="12.75" customHeight="1" x14ac:dyDescent="0.35">
      <c r="D61" s="1222" t="s">
        <v>380</v>
      </c>
      <c r="E61" s="556"/>
      <c r="F61" s="553" t="s">
        <v>413</v>
      </c>
      <c r="G61" s="577" t="s">
        <v>413</v>
      </c>
      <c r="H61" s="577" t="s">
        <v>413</v>
      </c>
      <c r="I61" s="577" t="s">
        <v>413</v>
      </c>
      <c r="J61" s="554" t="s">
        <v>413</v>
      </c>
      <c r="K61" s="468"/>
    </row>
    <row r="62" spans="1:11" ht="6" customHeight="1" x14ac:dyDescent="0.35">
      <c r="D62" s="2117"/>
      <c r="E62" s="469"/>
      <c r="F62" s="470"/>
      <c r="G62" s="471"/>
      <c r="H62" s="471"/>
      <c r="I62" s="471"/>
      <c r="J62" s="472"/>
      <c r="K62" s="471"/>
    </row>
    <row r="63" spans="1:11" ht="6" customHeight="1" x14ac:dyDescent="0.35">
      <c r="D63" s="2118"/>
      <c r="E63" s="473"/>
      <c r="F63" s="474"/>
      <c r="G63" s="475"/>
      <c r="H63" s="475"/>
      <c r="I63" s="475"/>
      <c r="J63" s="476"/>
      <c r="K63" s="471"/>
    </row>
    <row r="64" spans="1:11" ht="12.75" customHeight="1" x14ac:dyDescent="0.35">
      <c r="D64" s="527" t="s">
        <v>76</v>
      </c>
      <c r="E64" s="526"/>
      <c r="F64" s="527"/>
      <c r="G64" s="526"/>
      <c r="H64" s="525"/>
      <c r="I64" s="526"/>
      <c r="J64" s="528"/>
      <c r="K64" s="433"/>
    </row>
    <row r="65" spans="4:11" x14ac:dyDescent="0.35">
      <c r="D65" s="1227" t="s">
        <v>93</v>
      </c>
      <c r="E65" s="559" t="s">
        <v>94</v>
      </c>
      <c r="F65" s="560">
        <v>5.0000000000000001E-3</v>
      </c>
      <c r="G65" s="561">
        <v>5.0000000000000001E-3</v>
      </c>
      <c r="H65" s="561">
        <v>5.0000000000000001E-3</v>
      </c>
      <c r="I65" s="561">
        <v>5.0000000000000001E-3</v>
      </c>
      <c r="J65" s="562">
        <v>5.0000000000000001E-3</v>
      </c>
      <c r="K65" s="477"/>
    </row>
    <row r="66" spans="4:11" ht="6" customHeight="1" thickBot="1" x14ac:dyDescent="0.4">
      <c r="D66" s="1228"/>
      <c r="E66" s="85"/>
      <c r="F66" s="478"/>
      <c r="G66" s="85"/>
      <c r="H66" s="85"/>
      <c r="I66" s="85"/>
      <c r="J66" s="479"/>
    </row>
    <row r="67" spans="4:11" ht="6" customHeight="1" thickTop="1" x14ac:dyDescent="0.35"/>
    <row r="68" spans="4:11" x14ac:dyDescent="0.35">
      <c r="D68" s="563" t="s">
        <v>381</v>
      </c>
    </row>
    <row r="69" spans="4:11" ht="29" x14ac:dyDescent="0.35">
      <c r="D69" s="565" t="s">
        <v>382</v>
      </c>
    </row>
    <row r="70" spans="4:11" ht="12.75" customHeight="1" x14ac:dyDescent="0.35">
      <c r="D70" s="564" t="s">
        <v>383</v>
      </c>
    </row>
  </sheetData>
  <conditionalFormatting sqref="F51:F52">
    <cfRule type="expression" dxfId="8" priority="8" stopIfTrue="1">
      <formula>MOD(#REF!,2)=1</formula>
    </cfRule>
  </conditionalFormatting>
  <conditionalFormatting sqref="F53:J54">
    <cfRule type="expression" dxfId="7" priority="2" stopIfTrue="1">
      <formula>MOD(#REF!,2)=1</formula>
    </cfRule>
  </conditionalFormatting>
  <conditionalFormatting sqref="F56:J56">
    <cfRule type="expression" dxfId="6" priority="10" stopIfTrue="1">
      <formula>MOD(#REF!,2)=1</formula>
    </cfRule>
  </conditionalFormatting>
  <conditionalFormatting sqref="F57:J57 F57:F58">
    <cfRule type="expression" dxfId="5" priority="7" stopIfTrue="1">
      <formula>MOD(#REF!,2)=1</formula>
    </cfRule>
  </conditionalFormatting>
  <conditionalFormatting sqref="F59:J61">
    <cfRule type="expression" dxfId="4" priority="1" stopIfTrue="1">
      <formula>MOD(#REF!,2)=1</formula>
    </cfRule>
  </conditionalFormatting>
  <conditionalFormatting sqref="F50:K50">
    <cfRule type="expression" dxfId="3" priority="6" stopIfTrue="1">
      <formula>MOD(#REF!,2)=1</formula>
    </cfRule>
  </conditionalFormatting>
  <conditionalFormatting sqref="G51:K52">
    <cfRule type="expression" dxfId="2" priority="4" stopIfTrue="1">
      <formula>MOD(#REF!,2)=1</formula>
    </cfRule>
  </conditionalFormatting>
  <conditionalFormatting sqref="G56:K58 K59:K60">
    <cfRule type="expression" dxfId="1" priority="5" stopIfTrue="1">
      <formula>MOD(#REF!,2)=1</formula>
    </cfRule>
  </conditionalFormatting>
  <conditionalFormatting sqref="K54 F55:K55">
    <cfRule type="expression" dxfId="0" priority="9" stopIfTrue="1">
      <formula>MOD(#REF!,2)=1</formula>
    </cfRule>
  </conditionalFormatting>
  <pageMargins left="0.7" right="0.7" top="0.75" bottom="0.75" header="0.3" footer="0.3"/>
  <pageSetup scale="3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D76A-EDAA-4863-A35F-4FE937CFBBDC}">
  <sheetPr codeName="Sheet46">
    <pageSetUpPr fitToPage="1"/>
  </sheetPr>
  <dimension ref="A1:P55"/>
  <sheetViews>
    <sheetView showGridLines="0" zoomScale="70" zoomScaleNormal="70" workbookViewId="0"/>
  </sheetViews>
  <sheetFormatPr defaultColWidth="9.1796875" defaultRowHeight="14.5" x14ac:dyDescent="0.35"/>
  <cols>
    <col min="1" max="3" width="13.54296875" style="28" customWidth="1"/>
    <col min="4" max="4" width="43" style="28" customWidth="1"/>
    <col min="5" max="5" width="28.1796875" style="28" bestFit="1" customWidth="1"/>
    <col min="6" max="6" width="1.54296875" style="28" customWidth="1"/>
    <col min="7" max="11" width="19.54296875" style="28" customWidth="1"/>
    <col min="12" max="12" width="3.453125" style="28" customWidth="1"/>
    <col min="13" max="13" width="10.7265625" style="28" bestFit="1" customWidth="1"/>
    <col min="14" max="14" width="9.1796875" style="28"/>
    <col min="15" max="16" width="12.7265625" style="28" bestFit="1" customWidth="1"/>
    <col min="17" max="16384" width="9.1796875" style="28"/>
  </cols>
  <sheetData>
    <row r="1" spans="1:12" ht="15" customHeight="1" x14ac:dyDescent="0.35">
      <c r="A1" s="81" t="s">
        <v>275</v>
      </c>
      <c r="C1" s="566"/>
    </row>
    <row r="2" spans="1:12" ht="15" customHeight="1" x14ac:dyDescent="0.35">
      <c r="C2" s="566"/>
    </row>
    <row r="3" spans="1:12" ht="15" customHeight="1" x14ac:dyDescent="0.35">
      <c r="C3" s="566"/>
      <c r="D3" s="88" t="str">
        <f>LEFT($D4, FIND(":",$D4)-1)</f>
        <v>Table C11</v>
      </c>
    </row>
    <row r="4" spans="1:12" ht="15" customHeight="1" x14ac:dyDescent="0.35">
      <c r="C4" s="566"/>
      <c r="D4" s="86" t="str">
        <f>ToC!$J$50</f>
        <v>Table C11: BESS Capital Costs</v>
      </c>
      <c r="F4" s="35"/>
    </row>
    <row r="5" spans="1:12" ht="6" customHeight="1" thickBot="1" x14ac:dyDescent="0.4">
      <c r="D5" s="85"/>
      <c r="E5" s="85"/>
      <c r="F5" s="85"/>
      <c r="G5" s="85"/>
      <c r="H5" s="85"/>
      <c r="I5" s="85"/>
      <c r="J5" s="85"/>
      <c r="K5" s="85"/>
    </row>
    <row r="6" spans="1:12" ht="6" customHeight="1" thickTop="1" x14ac:dyDescent="0.35">
      <c r="D6" s="716"/>
      <c r="E6" s="452"/>
      <c r="F6" s="452"/>
      <c r="G6" s="418"/>
      <c r="L6" s="583"/>
    </row>
    <row r="7" spans="1:12" ht="12.75" customHeight="1" x14ac:dyDescent="0.35">
      <c r="D7" s="1236" t="s">
        <v>24</v>
      </c>
      <c r="E7" s="584"/>
      <c r="F7" s="585"/>
      <c r="G7" s="2211" t="s">
        <v>562</v>
      </c>
      <c r="H7" s="2212"/>
      <c r="I7" s="2212"/>
      <c r="J7" s="2212"/>
      <c r="K7" s="2213"/>
      <c r="L7" s="427"/>
    </row>
    <row r="8" spans="1:12" ht="16.5" x14ac:dyDescent="0.45">
      <c r="D8" s="1236" t="s">
        <v>98</v>
      </c>
      <c r="E8" s="586" t="s">
        <v>384</v>
      </c>
      <c r="F8" s="585"/>
      <c r="G8" s="427" t="s">
        <v>288</v>
      </c>
      <c r="H8" s="428" t="s">
        <v>289</v>
      </c>
      <c r="I8" s="428" t="s">
        <v>290</v>
      </c>
      <c r="J8" s="428" t="s">
        <v>291</v>
      </c>
      <c r="K8" s="428" t="s">
        <v>299</v>
      </c>
      <c r="L8" s="427"/>
    </row>
    <row r="9" spans="1:12" ht="45.75" customHeight="1" x14ac:dyDescent="0.35">
      <c r="D9" s="1236" t="s">
        <v>1</v>
      </c>
      <c r="E9" s="587" t="s">
        <v>385</v>
      </c>
      <c r="F9" s="584"/>
      <c r="G9" s="422" t="s">
        <v>358</v>
      </c>
      <c r="H9" s="423" t="s">
        <v>358</v>
      </c>
      <c r="I9" s="423" t="s">
        <v>358</v>
      </c>
      <c r="J9" s="423" t="s">
        <v>358</v>
      </c>
      <c r="K9" s="423" t="s">
        <v>358</v>
      </c>
      <c r="L9" s="588"/>
    </row>
    <row r="10" spans="1:12" x14ac:dyDescent="0.35">
      <c r="D10" s="1236" t="s">
        <v>386</v>
      </c>
      <c r="E10" s="589"/>
      <c r="F10" s="590"/>
      <c r="G10" s="619">
        <v>200</v>
      </c>
      <c r="H10" s="620">
        <v>200</v>
      </c>
      <c r="I10" s="620">
        <v>200</v>
      </c>
      <c r="J10" s="620">
        <v>200</v>
      </c>
      <c r="K10" s="620">
        <v>200</v>
      </c>
      <c r="L10" s="427"/>
    </row>
    <row r="11" spans="1:12" x14ac:dyDescent="0.35">
      <c r="D11" s="1236" t="s">
        <v>364</v>
      </c>
      <c r="E11" s="589"/>
      <c r="F11" s="590"/>
      <c r="G11" s="619">
        <v>4</v>
      </c>
      <c r="H11" s="620">
        <v>4</v>
      </c>
      <c r="I11" s="620">
        <v>4</v>
      </c>
      <c r="J11" s="620">
        <v>4</v>
      </c>
      <c r="K11" s="620">
        <v>4</v>
      </c>
      <c r="L11" s="427"/>
    </row>
    <row r="12" spans="1:12" x14ac:dyDescent="0.35">
      <c r="D12" s="1236" t="s">
        <v>387</v>
      </c>
      <c r="E12" s="589"/>
      <c r="F12" s="590"/>
      <c r="G12" s="621">
        <v>0.26089781428440761</v>
      </c>
      <c r="H12" s="622">
        <v>0.26089781428440761</v>
      </c>
      <c r="I12" s="622">
        <v>0.26089781428440761</v>
      </c>
      <c r="J12" s="622">
        <v>0.26089781428440761</v>
      </c>
      <c r="K12" s="622">
        <v>0.26089781428440761</v>
      </c>
      <c r="L12" s="427"/>
    </row>
    <row r="13" spans="1:12" x14ac:dyDescent="0.35">
      <c r="D13" s="1236" t="s">
        <v>388</v>
      </c>
      <c r="E13" s="589"/>
      <c r="F13" s="590"/>
      <c r="G13" s="623">
        <v>1008.7182514275261</v>
      </c>
      <c r="H13" s="624">
        <v>1008.7182514275261</v>
      </c>
      <c r="I13" s="624">
        <v>1008.7182514275261</v>
      </c>
      <c r="J13" s="624">
        <v>1008.7182514275261</v>
      </c>
      <c r="K13" s="624">
        <v>1008.7182514275261</v>
      </c>
      <c r="L13" s="427"/>
    </row>
    <row r="14" spans="1:12" x14ac:dyDescent="0.35">
      <c r="D14" s="1236" t="s">
        <v>389</v>
      </c>
      <c r="E14" s="589"/>
      <c r="F14" s="590"/>
      <c r="G14" s="623">
        <v>896.6827396525747</v>
      </c>
      <c r="H14" s="624">
        <v>896.6827396525747</v>
      </c>
      <c r="I14" s="624">
        <v>896.6827396525747</v>
      </c>
      <c r="J14" s="624">
        <v>896.6827396525747</v>
      </c>
      <c r="K14" s="624">
        <v>896.6827396525747</v>
      </c>
      <c r="L14" s="427"/>
    </row>
    <row r="15" spans="1:12" ht="6" customHeight="1" x14ac:dyDescent="0.35">
      <c r="D15" s="1237"/>
      <c r="E15" s="591"/>
      <c r="F15" s="591"/>
      <c r="G15" s="427"/>
      <c r="H15" s="428"/>
      <c r="I15" s="428"/>
      <c r="J15" s="428"/>
      <c r="K15" s="428"/>
      <c r="L15" s="427"/>
    </row>
    <row r="16" spans="1:12" ht="6" customHeight="1" x14ac:dyDescent="0.35">
      <c r="D16" s="1238"/>
      <c r="E16" s="590"/>
      <c r="F16" s="590"/>
      <c r="G16" s="430"/>
      <c r="H16" s="431"/>
      <c r="I16" s="431"/>
      <c r="J16" s="431"/>
      <c r="K16" s="431"/>
      <c r="L16" s="427"/>
    </row>
    <row r="17" spans="4:13" x14ac:dyDescent="0.35">
      <c r="D17" s="527" t="s">
        <v>390</v>
      </c>
      <c r="E17" s="526"/>
      <c r="F17" s="525"/>
      <c r="G17" s="649"/>
      <c r="H17" s="650"/>
      <c r="I17" s="650"/>
      <c r="J17" s="650"/>
      <c r="K17" s="650"/>
      <c r="L17" s="592"/>
    </row>
    <row r="18" spans="4:13" ht="6" customHeight="1" x14ac:dyDescent="0.35">
      <c r="D18" s="1239"/>
      <c r="F18" s="593"/>
      <c r="G18" s="594"/>
      <c r="H18" s="585"/>
      <c r="I18" s="585"/>
      <c r="J18" s="585"/>
      <c r="K18" s="585"/>
      <c r="L18" s="595"/>
    </row>
    <row r="19" spans="4:13" x14ac:dyDescent="0.35">
      <c r="D19" s="1239" t="s">
        <v>100</v>
      </c>
      <c r="E19" s="596"/>
      <c r="F19" s="597"/>
      <c r="G19" s="598"/>
      <c r="H19" s="599"/>
      <c r="I19" s="599"/>
      <c r="J19" s="599"/>
      <c r="K19" s="599"/>
      <c r="L19" s="600"/>
    </row>
    <row r="20" spans="4:13" ht="15" customHeight="1" x14ac:dyDescent="0.35">
      <c r="D20" s="1214" t="s">
        <v>667</v>
      </c>
      <c r="E20" s="625"/>
      <c r="F20" s="626"/>
      <c r="G20" s="627">
        <v>171690000</v>
      </c>
      <c r="H20" s="628">
        <v>171690000</v>
      </c>
      <c r="I20" s="628">
        <v>171690000</v>
      </c>
      <c r="J20" s="628">
        <v>171690000</v>
      </c>
      <c r="K20" s="628">
        <v>171690000</v>
      </c>
      <c r="L20" s="600"/>
    </row>
    <row r="21" spans="4:13" x14ac:dyDescent="0.35">
      <c r="D21" s="1214" t="s">
        <v>146</v>
      </c>
      <c r="E21" s="625"/>
      <c r="F21" s="626"/>
      <c r="G21" s="627">
        <v>48420900</v>
      </c>
      <c r="H21" s="628">
        <v>48420900</v>
      </c>
      <c r="I21" s="628">
        <v>48420900</v>
      </c>
      <c r="J21" s="628">
        <v>48420900</v>
      </c>
      <c r="K21" s="628">
        <v>48420900</v>
      </c>
      <c r="L21" s="600"/>
    </row>
    <row r="22" spans="4:13" ht="14.5" customHeight="1" x14ac:dyDescent="0.35">
      <c r="D22" s="1244" t="s">
        <v>391</v>
      </c>
      <c r="E22" s="631"/>
      <c r="F22" s="632"/>
      <c r="G22" s="1133">
        <f>SUM(G20:G21)</f>
        <v>220110900</v>
      </c>
      <c r="H22" s="1134">
        <f>SUM(H20:H21)</f>
        <v>220110900</v>
      </c>
      <c r="I22" s="1134">
        <f>SUM(I20:I21)</f>
        <v>220110900</v>
      </c>
      <c r="J22" s="1134">
        <f>SUM(J20:J21)</f>
        <v>220110900</v>
      </c>
      <c r="K22" s="1136">
        <f>SUM(K20:K21)</f>
        <v>220110900</v>
      </c>
      <c r="L22" s="1135"/>
      <c r="M22" s="658"/>
    </row>
    <row r="23" spans="4:13" ht="12.75" customHeight="1" x14ac:dyDescent="0.35">
      <c r="D23" s="1214" t="s">
        <v>392</v>
      </c>
      <c r="E23" s="625"/>
      <c r="F23" s="629"/>
      <c r="G23" s="627">
        <v>12053932</v>
      </c>
      <c r="H23" s="630">
        <v>11520988</v>
      </c>
      <c r="I23" s="630">
        <v>11526628</v>
      </c>
      <c r="J23" s="630">
        <v>11734428</v>
      </c>
      <c r="K23" s="630">
        <v>12524432</v>
      </c>
      <c r="L23" s="600"/>
    </row>
    <row r="24" spans="4:13" ht="12.75" customHeight="1" x14ac:dyDescent="0.35">
      <c r="D24" s="1245" t="s">
        <v>393</v>
      </c>
      <c r="E24" s="625"/>
      <c r="F24" s="629"/>
      <c r="G24" s="627">
        <v>70900800</v>
      </c>
      <c r="H24" s="630">
        <v>57577200</v>
      </c>
      <c r="I24" s="630">
        <v>57718200</v>
      </c>
      <c r="J24" s="630">
        <v>62913200</v>
      </c>
      <c r="K24" s="630">
        <v>82663300</v>
      </c>
      <c r="L24" s="600"/>
    </row>
    <row r="25" spans="4:13" x14ac:dyDescent="0.35">
      <c r="D25" s="1222" t="s">
        <v>99</v>
      </c>
      <c r="E25" s="651"/>
      <c r="F25" s="652"/>
      <c r="G25" s="654">
        <f>'Working Cap and Tax Rates'!G$21*G$22</f>
        <v>0</v>
      </c>
      <c r="H25" s="655">
        <f>'Working Cap and Tax Rates'!H$21*H$22</f>
        <v>0</v>
      </c>
      <c r="I25" s="655">
        <f>'Working Cap and Tax Rates'!I$21*I$22</f>
        <v>0</v>
      </c>
      <c r="J25" s="655">
        <f>'Working Cap and Tax Rates'!J$21*J$22</f>
        <v>0</v>
      </c>
      <c r="K25" s="655">
        <f>'Working Cap and Tax Rates'!K$21*K$22</f>
        <v>13756931.25</v>
      </c>
      <c r="L25" s="600"/>
    </row>
    <row r="26" spans="4:13" x14ac:dyDescent="0.35">
      <c r="D26" s="1246" t="s">
        <v>77</v>
      </c>
      <c r="E26" s="635"/>
      <c r="F26" s="636"/>
      <c r="G26" s="637" t="s">
        <v>369</v>
      </c>
      <c r="H26" s="638" t="s">
        <v>369</v>
      </c>
      <c r="I26" s="638" t="s">
        <v>369</v>
      </c>
      <c r="J26" s="638" t="s">
        <v>369</v>
      </c>
      <c r="K26" s="638" t="s">
        <v>369</v>
      </c>
      <c r="L26" s="600"/>
    </row>
    <row r="27" spans="4:13" x14ac:dyDescent="0.35">
      <c r="D27" s="1246" t="s">
        <v>79</v>
      </c>
      <c r="E27" s="635"/>
      <c r="F27" s="636"/>
      <c r="G27" s="637" t="s">
        <v>369</v>
      </c>
      <c r="H27" s="638" t="s">
        <v>369</v>
      </c>
      <c r="I27" s="638" t="s">
        <v>369</v>
      </c>
      <c r="J27" s="638" t="s">
        <v>369</v>
      </c>
      <c r="K27" s="638" t="s">
        <v>369</v>
      </c>
      <c r="L27" s="600"/>
    </row>
    <row r="28" spans="4:13" x14ac:dyDescent="0.35">
      <c r="D28" s="1242" t="s">
        <v>106</v>
      </c>
      <c r="E28" s="635"/>
      <c r="F28" s="636"/>
      <c r="G28" s="640">
        <f>SUM(G22:G25)</f>
        <v>303065632</v>
      </c>
      <c r="H28" s="641">
        <f>SUM(H22:H25)</f>
        <v>289209088</v>
      </c>
      <c r="I28" s="641">
        <f>SUM(I22:I25)</f>
        <v>289355728</v>
      </c>
      <c r="J28" s="641">
        <f>SUM(J22:J25)</f>
        <v>294758528</v>
      </c>
      <c r="K28" s="641">
        <f>SUM(K22:K25)</f>
        <v>329055563.25</v>
      </c>
      <c r="L28" s="600"/>
    </row>
    <row r="29" spans="4:13" x14ac:dyDescent="0.35">
      <c r="D29" s="1214" t="s">
        <v>479</v>
      </c>
      <c r="E29" s="625"/>
      <c r="F29" s="629"/>
      <c r="G29" s="627">
        <v>48716500</v>
      </c>
      <c r="H29" s="628">
        <v>44579100</v>
      </c>
      <c r="I29" s="628">
        <v>44622900</v>
      </c>
      <c r="J29" s="628">
        <v>46236100</v>
      </c>
      <c r="K29" s="628">
        <v>52369000</v>
      </c>
      <c r="L29" s="600"/>
    </row>
    <row r="30" spans="4:13" ht="6" customHeight="1" x14ac:dyDescent="0.35">
      <c r="D30" s="1248"/>
      <c r="E30" s="1017"/>
      <c r="F30" s="602"/>
      <c r="G30" s="936"/>
      <c r="H30" s="939"/>
      <c r="I30" s="939"/>
      <c r="J30" s="939"/>
      <c r="K30" s="939"/>
      <c r="L30" s="601"/>
    </row>
    <row r="31" spans="4:13" ht="6" customHeight="1" x14ac:dyDescent="0.35">
      <c r="D31" s="594"/>
      <c r="E31" s="1018"/>
      <c r="F31" s="585"/>
      <c r="G31" s="937"/>
      <c r="H31" s="940"/>
      <c r="I31" s="940"/>
      <c r="J31" s="940"/>
      <c r="K31" s="940"/>
      <c r="L31" s="601"/>
    </row>
    <row r="32" spans="4:13" x14ac:dyDescent="0.35">
      <c r="D32" s="527" t="s">
        <v>107</v>
      </c>
      <c r="E32" s="526"/>
      <c r="F32" s="525"/>
      <c r="G32" s="649"/>
      <c r="H32" s="650"/>
      <c r="I32" s="650"/>
      <c r="J32" s="650"/>
      <c r="K32" s="650"/>
      <c r="L32" s="592"/>
    </row>
    <row r="33" spans="1:16" ht="6" customHeight="1" x14ac:dyDescent="0.35">
      <c r="D33" s="1249"/>
      <c r="E33" s="83"/>
      <c r="F33" s="605"/>
      <c r="G33" s="938"/>
      <c r="H33" s="941"/>
      <c r="I33" s="941"/>
      <c r="J33" s="941"/>
      <c r="K33" s="941"/>
      <c r="L33" s="592"/>
    </row>
    <row r="34" spans="1:16" x14ac:dyDescent="0.35">
      <c r="D34" s="1246" t="s">
        <v>147</v>
      </c>
      <c r="E34" s="642"/>
      <c r="F34" s="636" t="s">
        <v>521</v>
      </c>
      <c r="G34" s="643">
        <f>G$28*'S&amp;L BESS - Cost Assumptions'!F$47</f>
        <v>15153281.600000001</v>
      </c>
      <c r="H34" s="644">
        <f>H$28*'S&amp;L BESS - Cost Assumptions'!G$47</f>
        <v>14460454.4</v>
      </c>
      <c r="I34" s="644">
        <f>I$28*'S&amp;L BESS - Cost Assumptions'!H$47</f>
        <v>14467786.4</v>
      </c>
      <c r="J34" s="644">
        <f>J$28*'S&amp;L BESS - Cost Assumptions'!I$47</f>
        <v>14737926.4</v>
      </c>
      <c r="K34" s="644">
        <f>K$28*'S&amp;L BESS - Cost Assumptions'!J$47</f>
        <v>16452778.162500001</v>
      </c>
      <c r="L34" s="600"/>
    </row>
    <row r="35" spans="1:16" x14ac:dyDescent="0.35">
      <c r="D35" s="1246" t="s">
        <v>148</v>
      </c>
      <c r="E35" s="642"/>
      <c r="F35" s="636"/>
      <c r="G35" s="643">
        <f>G$28*'S&amp;L BESS - Cost Assumptions'!F$48</f>
        <v>3030656.32</v>
      </c>
      <c r="H35" s="644">
        <f>H$28*'S&amp;L BESS - Cost Assumptions'!G$48</f>
        <v>2892090.88</v>
      </c>
      <c r="I35" s="644">
        <f>I$28*'S&amp;L BESS - Cost Assumptions'!H$48</f>
        <v>2893557.2800000003</v>
      </c>
      <c r="J35" s="644">
        <f>J$28*'S&amp;L BESS - Cost Assumptions'!I$48</f>
        <v>2947585.2800000003</v>
      </c>
      <c r="K35" s="644">
        <f>K$28*'S&amp;L BESS - Cost Assumptions'!J$48</f>
        <v>3290555.6325000003</v>
      </c>
      <c r="L35" s="600"/>
    </row>
    <row r="36" spans="1:16" x14ac:dyDescent="0.35">
      <c r="D36" s="1246" t="s">
        <v>84</v>
      </c>
      <c r="E36" s="635"/>
      <c r="F36" s="636"/>
      <c r="G36" s="643">
        <f>G$22*'S&amp;L BESS - Cost Assumptions'!F$50</f>
        <v>11005545</v>
      </c>
      <c r="H36" s="644">
        <f>H$22*'S&amp;L BESS - Cost Assumptions'!G$50</f>
        <v>11005545</v>
      </c>
      <c r="I36" s="644">
        <f>I$22*'S&amp;L BESS - Cost Assumptions'!H$50</f>
        <v>11005545</v>
      </c>
      <c r="J36" s="644">
        <f>J$22*'S&amp;L BESS - Cost Assumptions'!I$50</f>
        <v>11005545</v>
      </c>
      <c r="K36" s="644">
        <f>K$22*'S&amp;L BESS - Cost Assumptions'!J$50</f>
        <v>11005545</v>
      </c>
      <c r="L36" s="600"/>
    </row>
    <row r="37" spans="1:16" x14ac:dyDescent="0.35">
      <c r="D37" s="1246" t="s">
        <v>394</v>
      </c>
      <c r="E37" s="645"/>
      <c r="F37" s="636"/>
      <c r="G37" s="643" t="s">
        <v>369</v>
      </c>
      <c r="H37" s="644" t="s">
        <v>369</v>
      </c>
      <c r="I37" s="644" t="s">
        <v>369</v>
      </c>
      <c r="J37" s="644" t="s">
        <v>369</v>
      </c>
      <c r="K37" s="644" t="s">
        <v>369</v>
      </c>
      <c r="L37" s="600"/>
    </row>
    <row r="38" spans="1:16" ht="14.5" customHeight="1" x14ac:dyDescent="0.35">
      <c r="D38" s="1222" t="s">
        <v>109</v>
      </c>
      <c r="E38" s="653"/>
      <c r="F38" s="652"/>
      <c r="G38" s="943">
        <f>'S&amp;L BESS - Cost Assumptions'!F$53*10^6</f>
        <v>10932563.442451565</v>
      </c>
      <c r="H38" s="944">
        <f>'S&amp;L BESS - Cost Assumptions'!G$53*10^6</f>
        <v>10932563.442451565</v>
      </c>
      <c r="I38" s="944">
        <f>'S&amp;L BESS - Cost Assumptions'!H$53*10^6</f>
        <v>10932563.442451565</v>
      </c>
      <c r="J38" s="944">
        <f>'S&amp;L BESS - Cost Assumptions'!I$53*10^6</f>
        <v>10932563.442451565</v>
      </c>
      <c r="K38" s="945">
        <f>'S&amp;L BESS - Cost Assumptions'!J$53*10^6</f>
        <v>10932563.442451565</v>
      </c>
      <c r="L38" s="656"/>
    </row>
    <row r="39" spans="1:16" x14ac:dyDescent="0.35">
      <c r="A39" s="606"/>
      <c r="B39" s="606"/>
      <c r="C39" s="606"/>
      <c r="D39" s="1222" t="s">
        <v>90</v>
      </c>
      <c r="E39" s="653"/>
      <c r="F39" s="652"/>
      <c r="G39" s="654">
        <f>'S&amp;L BESS - Cost Assumptions'!F$56</f>
        <v>1277002.2515278226</v>
      </c>
      <c r="H39" s="657">
        <f>'S&amp;L BESS - Cost Assumptions'!G$56</f>
        <v>1202179.9307958477</v>
      </c>
      <c r="I39" s="657">
        <f>'S&amp;L BESS - Cost Assumptions'!H$56</f>
        <v>517186.88708321657</v>
      </c>
      <c r="J39" s="657">
        <f>'S&amp;L BESS - Cost Assumptions'!I$56</f>
        <v>1101919.6210907572</v>
      </c>
      <c r="K39" s="657">
        <f>'S&amp;L BESS - Cost Assumptions'!J$56</f>
        <v>1415090.5249895002</v>
      </c>
      <c r="L39" s="600"/>
    </row>
    <row r="40" spans="1:16" x14ac:dyDescent="0.35">
      <c r="A40" s="593"/>
      <c r="B40" s="593"/>
      <c r="C40" s="593"/>
      <c r="D40" s="1251" t="s">
        <v>111</v>
      </c>
      <c r="E40" s="646"/>
      <c r="F40" s="636"/>
      <c r="G40" s="633">
        <f>SUM(G34:G39)</f>
        <v>41399048.613979392</v>
      </c>
      <c r="H40" s="634">
        <f>SUM(H34:H39)</f>
        <v>40492833.653247416</v>
      </c>
      <c r="I40" s="634">
        <f>SUM(I34:I39)</f>
        <v>39816639.009534784</v>
      </c>
      <c r="J40" s="634">
        <f>SUM(J34:J39)</f>
        <v>40725539.743542321</v>
      </c>
      <c r="K40" s="634">
        <f>SUM(K34:K39)</f>
        <v>43096532.762441069</v>
      </c>
      <c r="L40" s="600"/>
      <c r="M40" s="62"/>
      <c r="O40" s="932"/>
      <c r="P40" s="933"/>
    </row>
    <row r="41" spans="1:16" x14ac:dyDescent="0.35">
      <c r="D41" s="1222" t="s">
        <v>85</v>
      </c>
      <c r="E41" s="555"/>
      <c r="F41" s="652"/>
      <c r="G41" s="654">
        <f>'S&amp;L BESS - Cost Assumptions'!F$51*G$40</f>
        <v>1655961.9445591758</v>
      </c>
      <c r="H41" s="657">
        <f>'S&amp;L BESS - Cost Assumptions'!G$51*H$40</f>
        <v>1619713.3461298966</v>
      </c>
      <c r="I41" s="657">
        <f>'S&amp;L BESS - Cost Assumptions'!H$51*I$40</f>
        <v>1592665.5603813913</v>
      </c>
      <c r="J41" s="657">
        <f>'S&amp;L BESS - Cost Assumptions'!I$51*J$40</f>
        <v>1629021.5897416929</v>
      </c>
      <c r="K41" s="657">
        <f>'S&amp;L BESS - Cost Assumptions'!J$51*K$40</f>
        <v>1723861.3104976427</v>
      </c>
      <c r="L41" s="600"/>
    </row>
    <row r="42" spans="1:16" s="415" customFormat="1" x14ac:dyDescent="0.35">
      <c r="D42" s="1242" t="s">
        <v>112</v>
      </c>
      <c r="E42" s="639"/>
      <c r="F42" s="647"/>
      <c r="G42" s="640">
        <f>SUM(G40:G41)</f>
        <v>43055010.558538571</v>
      </c>
      <c r="H42" s="641">
        <f>SUM(H40:H41)</f>
        <v>42112546.99937731</v>
      </c>
      <c r="I42" s="641">
        <f>SUM(I40:I41)</f>
        <v>41409304.569916174</v>
      </c>
      <c r="J42" s="641">
        <f>SUM(J40:J41)</f>
        <v>42354561.333284013</v>
      </c>
      <c r="K42" s="641">
        <f>SUM(K40:K41)</f>
        <v>44820394.07293871</v>
      </c>
      <c r="L42" s="607"/>
    </row>
    <row r="43" spans="1:16" ht="6" customHeight="1" x14ac:dyDescent="0.35">
      <c r="D43" s="1252"/>
      <c r="E43" s="996"/>
      <c r="F43" s="608"/>
      <c r="G43" s="936"/>
      <c r="H43" s="939"/>
      <c r="I43" s="939"/>
      <c r="J43" s="939"/>
      <c r="K43" s="939"/>
      <c r="L43" s="601"/>
    </row>
    <row r="44" spans="1:16" ht="6" customHeight="1" x14ac:dyDescent="0.35">
      <c r="D44" s="1253"/>
      <c r="E44" s="998"/>
      <c r="F44" s="609"/>
      <c r="G44" s="937"/>
      <c r="H44" s="940"/>
      <c r="I44" s="940"/>
      <c r="J44" s="940"/>
      <c r="K44" s="940"/>
      <c r="L44" s="601"/>
    </row>
    <row r="45" spans="1:16" s="415" customFormat="1" x14ac:dyDescent="0.35">
      <c r="D45" s="1242" t="s">
        <v>395</v>
      </c>
      <c r="E45" s="648"/>
      <c r="F45" s="647"/>
      <c r="G45" s="640">
        <f>G28+G42</f>
        <v>346120642.55853856</v>
      </c>
      <c r="H45" s="641">
        <f>H28+H42</f>
        <v>331321634.99937731</v>
      </c>
      <c r="I45" s="641">
        <f>I28+I42</f>
        <v>330765032.56991619</v>
      </c>
      <c r="J45" s="641">
        <f>J28+J42</f>
        <v>337113089.33328402</v>
      </c>
      <c r="K45" s="641">
        <f>K28+K42</f>
        <v>373875957.32293868</v>
      </c>
      <c r="L45" s="607"/>
    </row>
    <row r="46" spans="1:16" x14ac:dyDescent="0.35">
      <c r="D46" s="1242" t="s">
        <v>396</v>
      </c>
      <c r="E46" s="648"/>
      <c r="F46" s="639"/>
      <c r="G46" s="640">
        <f>G45/(G10*G11*1000)</f>
        <v>432.65080319817321</v>
      </c>
      <c r="H46" s="641">
        <f>H45/(H10*H11*1000)</f>
        <v>414.15204374922166</v>
      </c>
      <c r="I46" s="641">
        <f>I45/(I10*I11*1000)</f>
        <v>413.45629071239523</v>
      </c>
      <c r="J46" s="641">
        <f>J45/(J10*J11*1000)</f>
        <v>421.39136166660501</v>
      </c>
      <c r="K46" s="641">
        <f>K45/(K10*K11*1000)</f>
        <v>467.34494665367333</v>
      </c>
      <c r="L46" s="601"/>
    </row>
    <row r="47" spans="1:16" x14ac:dyDescent="0.35">
      <c r="D47" s="1242" t="s">
        <v>397</v>
      </c>
      <c r="E47" s="648"/>
      <c r="F47" s="639"/>
      <c r="G47" s="640">
        <f>G45/(G10*1000)</f>
        <v>1730.6032127926928</v>
      </c>
      <c r="H47" s="641">
        <f>H45/(H10*1000)</f>
        <v>1656.6081749968866</v>
      </c>
      <c r="I47" s="641">
        <f>I45/(I10*1000)</f>
        <v>1653.8251628495809</v>
      </c>
      <c r="J47" s="641">
        <f>J45/(J10*1000)</f>
        <v>1685.56544666642</v>
      </c>
      <c r="K47" s="641">
        <f>K45/(K10*1000)</f>
        <v>1869.3797866146933</v>
      </c>
      <c r="L47" s="601"/>
    </row>
    <row r="48" spans="1:16" ht="6" customHeight="1" thickBot="1" x14ac:dyDescent="0.4">
      <c r="D48" s="1254"/>
      <c r="E48" s="610"/>
      <c r="F48" s="610"/>
      <c r="G48" s="611"/>
      <c r="H48" s="612"/>
      <c r="I48" s="612"/>
      <c r="J48" s="612"/>
      <c r="K48" s="612"/>
      <c r="L48" s="613"/>
    </row>
    <row r="49" spans="4:12" ht="6" customHeight="1" thickTop="1" x14ac:dyDescent="0.35">
      <c r="D49" s="593" t="s">
        <v>114</v>
      </c>
      <c r="E49" s="593"/>
      <c r="F49" s="593"/>
      <c r="G49" s="614"/>
      <c r="H49" s="614"/>
      <c r="I49" s="614"/>
      <c r="J49" s="614"/>
      <c r="K49" s="614"/>
      <c r="L49" s="614"/>
    </row>
    <row r="50" spans="4:12" ht="15" customHeight="1" x14ac:dyDescent="0.35">
      <c r="D50" s="563" t="s">
        <v>381</v>
      </c>
      <c r="E50" s="615"/>
      <c r="F50" s="585"/>
      <c r="G50" s="616"/>
      <c r="H50" s="616"/>
      <c r="I50" s="616"/>
      <c r="J50" s="616"/>
      <c r="K50" s="616"/>
      <c r="L50" s="585"/>
    </row>
    <row r="51" spans="4:12" ht="29" x14ac:dyDescent="0.35">
      <c r="D51" s="565" t="s">
        <v>382</v>
      </c>
      <c r="E51" s="585"/>
      <c r="F51" s="585"/>
      <c r="G51" s="1014"/>
      <c r="H51" s="1013"/>
      <c r="I51" s="1013"/>
      <c r="J51" s="1013"/>
      <c r="K51" s="1013"/>
      <c r="L51" s="585"/>
    </row>
    <row r="52" spans="4:12" x14ac:dyDescent="0.35">
      <c r="D52" s="564" t="s">
        <v>383</v>
      </c>
      <c r="E52" s="606"/>
      <c r="F52" s="617"/>
      <c r="G52" s="618"/>
      <c r="H52" s="618"/>
      <c r="I52" s="618"/>
      <c r="J52" s="618"/>
      <c r="K52" s="618"/>
      <c r="L52" s="585"/>
    </row>
    <row r="53" spans="4:12" x14ac:dyDescent="0.35">
      <c r="D53" s="564"/>
      <c r="E53" s="606"/>
      <c r="F53" s="617"/>
      <c r="G53" s="618"/>
      <c r="H53" s="618"/>
      <c r="I53" s="618"/>
      <c r="J53" s="618"/>
      <c r="K53" s="618"/>
      <c r="L53" s="585"/>
    </row>
    <row r="54" spans="4:12" x14ac:dyDescent="0.35">
      <c r="D54" s="28" t="s">
        <v>520</v>
      </c>
    </row>
    <row r="55" spans="4:12" x14ac:dyDescent="0.35">
      <c r="D55" s="28" t="s">
        <v>666</v>
      </c>
    </row>
  </sheetData>
  <mergeCells count="1">
    <mergeCell ref="G7:K7"/>
  </mergeCells>
  <pageMargins left="0.7" right="0.7" top="0.75" bottom="0.75" header="0.3" footer="0.3"/>
  <pageSetup scale="70" fitToWidth="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CD77-484B-4358-B91F-A7BFE8B8DB2B}">
  <sheetPr codeName="Sheet47">
    <pageSetUpPr fitToPage="1"/>
  </sheetPr>
  <dimension ref="A1:L94"/>
  <sheetViews>
    <sheetView showGridLines="0" zoomScale="70" zoomScaleNormal="70" workbookViewId="0"/>
  </sheetViews>
  <sheetFormatPr defaultColWidth="8.81640625" defaultRowHeight="14.5" x14ac:dyDescent="0.35"/>
  <cols>
    <col min="1" max="3" width="13.54296875" style="29" customWidth="1"/>
    <col min="4" max="4" width="53.453125" style="29" customWidth="1"/>
    <col min="5" max="5" width="1.54296875" style="29" customWidth="1"/>
    <col min="6" max="10" width="18.54296875" style="30" customWidth="1"/>
    <col min="11" max="11" width="1.54296875" style="30" customWidth="1"/>
    <col min="12" max="16384" width="8.81640625" style="29"/>
  </cols>
  <sheetData>
    <row r="1" spans="1:12" s="31" customFormat="1" ht="15" customHeight="1" x14ac:dyDescent="0.35">
      <c r="A1" s="81" t="s">
        <v>275</v>
      </c>
      <c r="J1" s="37"/>
      <c r="K1" s="32"/>
      <c r="L1" s="32"/>
    </row>
    <row r="2" spans="1:12" s="31" customFormat="1" ht="15" customHeight="1" x14ac:dyDescent="0.35">
      <c r="J2" s="37"/>
      <c r="K2" s="32"/>
      <c r="L2" s="32"/>
    </row>
    <row r="3" spans="1:12" s="28" customFormat="1" ht="15" customHeight="1" x14ac:dyDescent="0.35">
      <c r="D3" s="9" t="str">
        <f>LEFT($D4, FIND(":",$D4)-1)</f>
        <v>Table C12</v>
      </c>
    </row>
    <row r="4" spans="1:12" s="28" customFormat="1" ht="15" customHeight="1" x14ac:dyDescent="0.35">
      <c r="D4" s="2" t="str">
        <f>ToC!$J$51</f>
        <v>Table C12: BESS Operations and Maintenance Costs</v>
      </c>
    </row>
    <row r="5" spans="1:12" ht="6" customHeight="1" thickBot="1" x14ac:dyDescent="0.4">
      <c r="D5" s="659"/>
      <c r="E5" s="659"/>
      <c r="F5" s="660"/>
      <c r="G5" s="660"/>
      <c r="H5" s="660"/>
      <c r="I5" s="660"/>
      <c r="J5" s="660"/>
      <c r="K5" s="661"/>
    </row>
    <row r="6" spans="1:12" ht="6" customHeight="1" thickTop="1" x14ac:dyDescent="0.35">
      <c r="D6" s="1260"/>
      <c r="F6" s="662"/>
      <c r="G6" s="663"/>
      <c r="H6" s="663"/>
      <c r="I6" s="663"/>
      <c r="J6" s="664"/>
      <c r="K6" s="661"/>
    </row>
    <row r="7" spans="1:12" ht="12.75" customHeight="1" x14ac:dyDescent="0.35">
      <c r="D7" s="1261"/>
      <c r="E7" s="665"/>
      <c r="F7" s="2211" t="s">
        <v>519</v>
      </c>
      <c r="G7" s="2212"/>
      <c r="H7" s="2212"/>
      <c r="I7" s="2212"/>
      <c r="J7" s="2213"/>
      <c r="K7" s="427"/>
    </row>
    <row r="8" spans="1:12" ht="12.75" customHeight="1" x14ac:dyDescent="0.35">
      <c r="D8" s="1261"/>
      <c r="E8" s="665"/>
      <c r="F8" s="666" t="s">
        <v>288</v>
      </c>
      <c r="G8" s="667" t="s">
        <v>289</v>
      </c>
      <c r="H8" s="667" t="s">
        <v>290</v>
      </c>
      <c r="I8" s="667" t="s">
        <v>291</v>
      </c>
      <c r="J8" s="667" t="s">
        <v>299</v>
      </c>
      <c r="K8" s="427"/>
    </row>
    <row r="9" spans="1:12" ht="25.5" customHeight="1" x14ac:dyDescent="0.35">
      <c r="D9" s="1262" t="s">
        <v>76</v>
      </c>
      <c r="E9" s="668"/>
      <c r="F9" s="588" t="s">
        <v>358</v>
      </c>
      <c r="G9" s="425" t="s">
        <v>358</v>
      </c>
      <c r="H9" s="425" t="s">
        <v>358</v>
      </c>
      <c r="I9" s="425" t="s">
        <v>358</v>
      </c>
      <c r="J9" s="425" t="s">
        <v>358</v>
      </c>
      <c r="K9" s="669"/>
    </row>
    <row r="10" spans="1:12" ht="6" customHeight="1" x14ac:dyDescent="0.35">
      <c r="D10" s="1263"/>
      <c r="E10" s="670"/>
      <c r="F10" s="671"/>
      <c r="G10" s="672"/>
      <c r="H10" s="672"/>
      <c r="I10" s="672"/>
      <c r="J10" s="672"/>
      <c r="K10" s="669"/>
    </row>
    <row r="11" spans="1:12" x14ac:dyDescent="0.35">
      <c r="D11" s="1264"/>
      <c r="E11" s="673"/>
      <c r="F11" s="598"/>
      <c r="G11" s="599"/>
      <c r="H11" s="599"/>
      <c r="I11" s="599"/>
      <c r="J11" s="599"/>
      <c r="K11" s="674"/>
    </row>
    <row r="12" spans="1:12" x14ac:dyDescent="0.35">
      <c r="D12" s="527" t="s">
        <v>398</v>
      </c>
      <c r="E12" s="522"/>
      <c r="F12" s="523"/>
      <c r="G12" s="522"/>
      <c r="H12" s="521"/>
      <c r="I12" s="522"/>
      <c r="J12" s="522"/>
      <c r="K12" s="675"/>
    </row>
    <row r="13" spans="1:12" x14ac:dyDescent="0.35">
      <c r="D13" s="1276" t="s">
        <v>399</v>
      </c>
      <c r="E13" s="697"/>
      <c r="F13" s="698">
        <v>3493000</v>
      </c>
      <c r="G13" s="699">
        <v>3493000</v>
      </c>
      <c r="H13" s="699">
        <v>3493000</v>
      </c>
      <c r="I13" s="699">
        <v>3493000</v>
      </c>
      <c r="J13" s="699">
        <v>3493000</v>
      </c>
      <c r="K13" s="675"/>
    </row>
    <row r="14" spans="1:12" x14ac:dyDescent="0.35">
      <c r="D14" s="1276" t="s">
        <v>400</v>
      </c>
      <c r="E14" s="700"/>
      <c r="F14" s="698">
        <v>195000</v>
      </c>
      <c r="G14" s="699">
        <v>207500</v>
      </c>
      <c r="H14" s="699">
        <v>142100</v>
      </c>
      <c r="I14" s="699">
        <v>169900</v>
      </c>
      <c r="J14" s="699">
        <v>187700</v>
      </c>
      <c r="K14" s="676"/>
    </row>
    <row r="15" spans="1:12" x14ac:dyDescent="0.35">
      <c r="D15" s="1276" t="s">
        <v>401</v>
      </c>
      <c r="E15" s="700"/>
      <c r="F15" s="698">
        <v>619000</v>
      </c>
      <c r="G15" s="699">
        <v>658600</v>
      </c>
      <c r="H15" s="699">
        <v>451000</v>
      </c>
      <c r="I15" s="699">
        <v>539300</v>
      </c>
      <c r="J15" s="699">
        <v>595900</v>
      </c>
      <c r="K15" s="677"/>
    </row>
    <row r="16" spans="1:12" s="673" customFormat="1" x14ac:dyDescent="0.35">
      <c r="D16" s="1276" t="s">
        <v>402</v>
      </c>
      <c r="E16" s="700"/>
      <c r="F16" s="698">
        <v>460100</v>
      </c>
      <c r="G16" s="699">
        <v>489500</v>
      </c>
      <c r="H16" s="699">
        <v>335300</v>
      </c>
      <c r="I16" s="699">
        <v>400900</v>
      </c>
      <c r="J16" s="699">
        <v>442900</v>
      </c>
      <c r="K16" s="677"/>
    </row>
    <row r="17" spans="4:11" x14ac:dyDescent="0.35">
      <c r="D17" s="1278" t="s">
        <v>403</v>
      </c>
      <c r="E17" s="703"/>
      <c r="F17" s="704">
        <f>'S&amp;L BESS - Cost Assumptions'!F$65*'S&amp;L BESS - Capital Costs'!G$45</f>
        <v>1730603.2127926927</v>
      </c>
      <c r="G17" s="705">
        <f>'S&amp;L BESS - Cost Assumptions'!G$65*'S&amp;L BESS - Capital Costs'!H$45</f>
        <v>1656608.1749968866</v>
      </c>
      <c r="H17" s="705">
        <f>'S&amp;L BESS - Cost Assumptions'!H$65*'S&amp;L BESS - Capital Costs'!I$45</f>
        <v>1653825.1628495809</v>
      </c>
      <c r="I17" s="705">
        <f>'S&amp;L BESS - Cost Assumptions'!I$65*'S&amp;L BESS - Capital Costs'!J$45</f>
        <v>1685565.4466664202</v>
      </c>
      <c r="J17" s="705">
        <f>'S&amp;L BESS - Cost Assumptions'!J$65*'S&amp;L BESS - Capital Costs'!K$45</f>
        <v>1869379.7866146935</v>
      </c>
      <c r="K17" s="678"/>
    </row>
    <row r="18" spans="4:11" ht="12" customHeight="1" x14ac:dyDescent="0.35">
      <c r="D18" s="1279" t="s">
        <v>404</v>
      </c>
      <c r="E18" s="709"/>
      <c r="F18" s="1078">
        <f>_xlfn.XLOOKUP("BESS_"&amp;F$8,'Annual Property Tax Costs'!$I$27:$AS$27,'Annual Property Tax Costs'!$I$44:$AS$44)</f>
        <v>2170899.3605743176</v>
      </c>
      <c r="G18" s="1079">
        <f>_xlfn.XLOOKUP("BESS_"&amp;G$8,'Annual Property Tax Costs'!$I$27:$AS$27,'Annual Property Tax Costs'!$I$44:$AS$44)</f>
        <v>4221672.6686471142</v>
      </c>
      <c r="H18" s="1079">
        <f>_xlfn.XLOOKUP("BESS_"&amp;H$8,'Annual Property Tax Costs'!$I$27:$AS$27,'Annual Property Tax Costs'!$I$44:$AS$44)</f>
        <v>3004563.7395579237</v>
      </c>
      <c r="I18" s="1079">
        <f>_xlfn.XLOOKUP("BESS_"&amp;I$8,'Annual Property Tax Costs'!$I$27:$AS$27,'Annual Property Tax Costs'!$I$44:$AS$44)</f>
        <v>2449628.4779024022</v>
      </c>
      <c r="J18" s="1079">
        <f>_xlfn.XLOOKUP("BESS_"&amp;J$8,'Annual Property Tax Costs'!$I$27:$AS$27,'Annual Property Tax Costs'!$I$44:$AS$44)</f>
        <v>2366797.6817996753</v>
      </c>
      <c r="K18" s="678"/>
    </row>
    <row r="19" spans="4:11" x14ac:dyDescent="0.35">
      <c r="D19" s="1280" t="s">
        <v>405</v>
      </c>
      <c r="E19" s="706"/>
      <c r="F19" s="707">
        <f>SUM(F$13:F$18)/('S&amp;L BESS - Capital Costs'!G$10*'S&amp;L BESS - Capital Costs'!G$11*1000)</f>
        <v>10.835753216708763</v>
      </c>
      <c r="G19" s="708">
        <f>SUM(G$13:G$18)/('S&amp;L BESS - Capital Costs'!H$10*'S&amp;L BESS - Capital Costs'!H$11*1000)</f>
        <v>13.408601054555001</v>
      </c>
      <c r="H19" s="708">
        <f>SUM(H$13:H$18)/('S&amp;L BESS - Capital Costs'!I$10*'S&amp;L BESS - Capital Costs'!I$11*1000)</f>
        <v>11.349736128009381</v>
      </c>
      <c r="I19" s="708">
        <f>SUM(I$13:I$18)/('S&amp;L BESS - Capital Costs'!J$10*'S&amp;L BESS - Capital Costs'!J$11*1000)</f>
        <v>10.922867405711028</v>
      </c>
      <c r="J19" s="708">
        <f>SUM(J$13:J$18)/('S&amp;L BESS - Capital Costs'!K$10*'S&amp;L BESS - Capital Costs'!K$11*1000)</f>
        <v>11.194596835517963</v>
      </c>
      <c r="K19" s="678"/>
    </row>
    <row r="20" spans="4:11" x14ac:dyDescent="0.35">
      <c r="D20" s="1280" t="s">
        <v>406</v>
      </c>
      <c r="E20" s="706"/>
      <c r="F20" s="707">
        <f>SUM(F$13:F$18)/('S&amp;L BESS - Capital Costs'!G$10*1000)</f>
        <v>43.343012866835053</v>
      </c>
      <c r="G20" s="708">
        <f>SUM(G$13:G$18)/('S&amp;L BESS - Capital Costs'!H$10*1000)</f>
        <v>53.634404218220006</v>
      </c>
      <c r="H20" s="708">
        <f>SUM(H$13:H$18)/('S&amp;L BESS - Capital Costs'!I$10*1000)</f>
        <v>45.398944512037524</v>
      </c>
      <c r="I20" s="708">
        <f>SUM(I$13:I$18)/('S&amp;L BESS - Capital Costs'!J$10*1000)</f>
        <v>43.69146962284411</v>
      </c>
      <c r="J20" s="708">
        <f>SUM(J$13:J$18)/('S&amp;L BESS - Capital Costs'!K$10*1000)</f>
        <v>44.778387342071852</v>
      </c>
      <c r="K20" s="678"/>
    </row>
    <row r="21" spans="4:11" ht="6" customHeight="1" x14ac:dyDescent="0.35">
      <c r="D21" s="1269"/>
      <c r="E21" s="679"/>
      <c r="F21" s="680"/>
      <c r="G21" s="681"/>
      <c r="H21" s="681"/>
      <c r="I21" s="681"/>
      <c r="J21" s="681"/>
      <c r="K21" s="682"/>
    </row>
    <row r="22" spans="4:11" ht="6" customHeight="1" x14ac:dyDescent="0.35">
      <c r="D22" s="1281"/>
      <c r="E22" s="683"/>
      <c r="F22" s="677"/>
      <c r="G22" s="684"/>
      <c r="H22" s="684"/>
      <c r="I22" s="684"/>
      <c r="J22" s="684"/>
      <c r="K22" s="677"/>
    </row>
    <row r="23" spans="4:11" x14ac:dyDescent="0.35">
      <c r="D23" s="527" t="s">
        <v>407</v>
      </c>
      <c r="E23" s="522"/>
      <c r="F23" s="694"/>
      <c r="G23" s="695"/>
      <c r="H23" s="696"/>
      <c r="I23" s="695"/>
      <c r="J23" s="695"/>
      <c r="K23" s="677"/>
    </row>
    <row r="24" spans="4:11" x14ac:dyDescent="0.35">
      <c r="D24" s="1271" t="s">
        <v>408</v>
      </c>
      <c r="E24" s="700"/>
      <c r="F24" s="701">
        <v>0</v>
      </c>
      <c r="G24" s="702">
        <v>0</v>
      </c>
      <c r="H24" s="702">
        <v>0</v>
      </c>
      <c r="I24" s="702">
        <v>0</v>
      </c>
      <c r="J24" s="702">
        <v>0</v>
      </c>
      <c r="K24" s="685"/>
    </row>
    <row r="25" spans="4:11" ht="6" customHeight="1" thickBot="1" x14ac:dyDescent="0.4">
      <c r="D25" s="1274"/>
      <c r="E25" s="686"/>
      <c r="F25" s="687"/>
      <c r="G25" s="688"/>
      <c r="H25" s="688"/>
      <c r="I25" s="688"/>
      <c r="J25" s="688"/>
      <c r="K25" s="677"/>
    </row>
    <row r="26" spans="4:11" ht="6" customHeight="1" thickTop="1" x14ac:dyDescent="0.35">
      <c r="D26" s="673"/>
      <c r="E26" s="673"/>
      <c r="F26" s="661"/>
      <c r="G26" s="661"/>
      <c r="H26" s="661"/>
      <c r="I26" s="661"/>
      <c r="J26" s="661"/>
      <c r="K26" s="661"/>
    </row>
    <row r="27" spans="4:11" x14ac:dyDescent="0.35">
      <c r="D27" s="563" t="s">
        <v>381</v>
      </c>
      <c r="E27" s="689"/>
      <c r="F27" s="661"/>
      <c r="G27" s="661"/>
      <c r="H27" s="661"/>
      <c r="I27" s="661"/>
      <c r="J27" s="661"/>
      <c r="K27" s="661"/>
    </row>
    <row r="28" spans="4:11" ht="29" x14ac:dyDescent="0.35">
      <c r="D28" s="565" t="s">
        <v>382</v>
      </c>
      <c r="E28" s="683"/>
      <c r="F28" s="690"/>
      <c r="G28" s="690"/>
      <c r="H28" s="690"/>
      <c r="I28" s="690"/>
      <c r="J28" s="690"/>
    </row>
    <row r="29" spans="4:11" x14ac:dyDescent="0.35">
      <c r="D29" s="564" t="s">
        <v>383</v>
      </c>
      <c r="E29" s="683"/>
      <c r="F29" s="691"/>
      <c r="G29" s="691"/>
      <c r="H29" s="691"/>
      <c r="I29" s="691"/>
      <c r="J29" s="691"/>
    </row>
    <row r="30" spans="4:11" x14ac:dyDescent="0.35">
      <c r="D30" s="692"/>
      <c r="E30" s="683"/>
      <c r="F30" s="691"/>
      <c r="G30" s="691"/>
      <c r="H30" s="691"/>
      <c r="I30" s="691"/>
      <c r="J30" s="691"/>
    </row>
    <row r="31" spans="4:11" x14ac:dyDescent="0.35">
      <c r="D31" s="1845" t="s">
        <v>609</v>
      </c>
      <c r="E31" s="683"/>
      <c r="F31" s="691"/>
      <c r="G31" s="691"/>
      <c r="H31" s="691"/>
      <c r="I31" s="691"/>
      <c r="J31" s="691"/>
    </row>
    <row r="32" spans="4:11" x14ac:dyDescent="0.35">
      <c r="D32" s="1845" t="s">
        <v>610</v>
      </c>
      <c r="E32" s="31"/>
      <c r="F32" s="438"/>
      <c r="G32" s="438"/>
      <c r="H32" s="438"/>
      <c r="I32" s="438"/>
      <c r="J32" s="438"/>
    </row>
    <row r="33" spans="1:10" x14ac:dyDescent="0.35">
      <c r="D33" s="29" t="s">
        <v>409</v>
      </c>
      <c r="F33" s="438"/>
      <c r="G33" s="438"/>
      <c r="H33" s="438"/>
      <c r="I33" s="438"/>
      <c r="J33" s="438"/>
    </row>
    <row r="34" spans="1:10" x14ac:dyDescent="0.35">
      <c r="D34" s="29" t="s">
        <v>611</v>
      </c>
    </row>
    <row r="35" spans="1:10" x14ac:dyDescent="0.35">
      <c r="D35" s="29" t="s">
        <v>410</v>
      </c>
      <c r="F35" s="33"/>
    </row>
    <row r="36" spans="1:10" s="30" customFormat="1" x14ac:dyDescent="0.35">
      <c r="A36" s="29"/>
      <c r="B36" s="29"/>
      <c r="C36" s="29"/>
      <c r="D36" s="34"/>
      <c r="E36" s="29"/>
    </row>
    <row r="37" spans="1:10" s="30" customFormat="1" x14ac:dyDescent="0.35">
      <c r="A37" s="29"/>
      <c r="B37" s="29"/>
      <c r="C37" s="29"/>
      <c r="D37" s="34"/>
      <c r="E37" s="29"/>
    </row>
    <row r="38" spans="1:10" s="30" customFormat="1" x14ac:dyDescent="0.35">
      <c r="A38" s="29"/>
      <c r="B38" s="29"/>
      <c r="C38" s="29"/>
      <c r="D38" s="34"/>
      <c r="E38" s="29"/>
    </row>
    <row r="39" spans="1:10" s="30" customFormat="1" x14ac:dyDescent="0.35">
      <c r="A39" s="29"/>
      <c r="B39" s="29"/>
      <c r="C39" s="29"/>
      <c r="D39" s="34"/>
      <c r="E39" s="29"/>
    </row>
    <row r="44" spans="1:10" s="30" customFormat="1" x14ac:dyDescent="0.35">
      <c r="D44" s="29"/>
      <c r="E44" s="29"/>
    </row>
    <row r="45" spans="1:10" s="30" customFormat="1" x14ac:dyDescent="0.35">
      <c r="D45" s="29"/>
      <c r="E45" s="29"/>
    </row>
    <row r="46" spans="1:10" s="30" customFormat="1" x14ac:dyDescent="0.35">
      <c r="D46" s="29"/>
      <c r="E46" s="29"/>
    </row>
    <row r="47" spans="1:10" s="30" customFormat="1" x14ac:dyDescent="0.35">
      <c r="D47" s="29"/>
      <c r="E47" s="29"/>
    </row>
    <row r="48" spans="1:10" s="30" customFormat="1" x14ac:dyDescent="0.35">
      <c r="D48" s="29"/>
      <c r="E48" s="29"/>
    </row>
    <row r="49" spans="4:5" s="30" customFormat="1" x14ac:dyDescent="0.35">
      <c r="D49" s="29"/>
      <c r="E49" s="29"/>
    </row>
    <row r="50" spans="4:5" s="30" customFormat="1" x14ac:dyDescent="0.35">
      <c r="D50" s="29"/>
      <c r="E50" s="29"/>
    </row>
    <row r="51" spans="4:5" s="30" customFormat="1" x14ac:dyDescent="0.35">
      <c r="D51" s="29"/>
      <c r="E51" s="29"/>
    </row>
    <row r="52" spans="4:5" s="30" customFormat="1" x14ac:dyDescent="0.35">
      <c r="D52" s="29"/>
      <c r="E52" s="29"/>
    </row>
    <row r="53" spans="4:5" s="30" customFormat="1" x14ac:dyDescent="0.35">
      <c r="D53" s="29"/>
      <c r="E53" s="29"/>
    </row>
    <row r="54" spans="4:5" s="30" customFormat="1" x14ac:dyDescent="0.35">
      <c r="D54" s="29"/>
      <c r="E54" s="29"/>
    </row>
    <row r="55" spans="4:5" s="30" customFormat="1" x14ac:dyDescent="0.35">
      <c r="D55" s="29"/>
      <c r="E55" s="29"/>
    </row>
    <row r="56" spans="4:5" s="30" customFormat="1" x14ac:dyDescent="0.35">
      <c r="D56" s="29"/>
      <c r="E56" s="29"/>
    </row>
    <row r="57" spans="4:5" s="30" customFormat="1" x14ac:dyDescent="0.35">
      <c r="D57" s="29"/>
      <c r="E57" s="29"/>
    </row>
    <row r="58" spans="4:5" s="30" customFormat="1" x14ac:dyDescent="0.35">
      <c r="D58" s="29"/>
      <c r="E58" s="29"/>
    </row>
    <row r="59" spans="4:5" s="30" customFormat="1" x14ac:dyDescent="0.35">
      <c r="D59" s="29"/>
      <c r="E59" s="29"/>
    </row>
    <row r="60" spans="4:5" s="30" customFormat="1" x14ac:dyDescent="0.35">
      <c r="D60" s="29"/>
      <c r="E60" s="29"/>
    </row>
    <row r="61" spans="4:5" s="30" customFormat="1" x14ac:dyDescent="0.35">
      <c r="D61" s="29"/>
      <c r="E61" s="29"/>
    </row>
    <row r="62" spans="4:5" s="30" customFormat="1" x14ac:dyDescent="0.35">
      <c r="D62" s="29"/>
      <c r="E62" s="29"/>
    </row>
    <row r="63" spans="4:5" s="30" customFormat="1" x14ac:dyDescent="0.35">
      <c r="D63" s="29"/>
      <c r="E63" s="29"/>
    </row>
    <row r="64" spans="4:5" s="30" customFormat="1" x14ac:dyDescent="0.35">
      <c r="D64" s="29"/>
      <c r="E64" s="29"/>
    </row>
    <row r="65" spans="4:5" s="30" customFormat="1" x14ac:dyDescent="0.35">
      <c r="D65" s="29"/>
      <c r="E65" s="29"/>
    </row>
    <row r="66" spans="4:5" s="30" customFormat="1" x14ac:dyDescent="0.35">
      <c r="D66" s="29"/>
      <c r="E66" s="29"/>
    </row>
    <row r="67" spans="4:5" s="30" customFormat="1" x14ac:dyDescent="0.35">
      <c r="D67" s="29"/>
      <c r="E67" s="29"/>
    </row>
    <row r="68" spans="4:5" s="30" customFormat="1" x14ac:dyDescent="0.35">
      <c r="D68" s="29"/>
      <c r="E68" s="29"/>
    </row>
    <row r="69" spans="4:5" s="30" customFormat="1" x14ac:dyDescent="0.35">
      <c r="D69" s="29"/>
      <c r="E69" s="29"/>
    </row>
    <row r="70" spans="4:5" s="30" customFormat="1" x14ac:dyDescent="0.35">
      <c r="D70" s="29"/>
      <c r="E70" s="29"/>
    </row>
    <row r="71" spans="4:5" s="30" customFormat="1" x14ac:dyDescent="0.35">
      <c r="D71" s="29"/>
      <c r="E71" s="29"/>
    </row>
    <row r="72" spans="4:5" s="30" customFormat="1" x14ac:dyDescent="0.35">
      <c r="D72" s="29"/>
      <c r="E72" s="29"/>
    </row>
    <row r="73" spans="4:5" s="30" customFormat="1" x14ac:dyDescent="0.35">
      <c r="D73" s="29"/>
      <c r="E73" s="29"/>
    </row>
    <row r="74" spans="4:5" s="30" customFormat="1" x14ac:dyDescent="0.35">
      <c r="D74" s="29"/>
      <c r="E74" s="29"/>
    </row>
    <row r="75" spans="4:5" s="30" customFormat="1" x14ac:dyDescent="0.35">
      <c r="D75" s="29"/>
      <c r="E75" s="29"/>
    </row>
    <row r="76" spans="4:5" s="30" customFormat="1" x14ac:dyDescent="0.35">
      <c r="D76" s="29"/>
      <c r="E76" s="29"/>
    </row>
    <row r="77" spans="4:5" s="30" customFormat="1" x14ac:dyDescent="0.35">
      <c r="D77" s="29"/>
      <c r="E77" s="29"/>
    </row>
    <row r="78" spans="4:5" s="30" customFormat="1" x14ac:dyDescent="0.35">
      <c r="D78" s="29"/>
      <c r="E78" s="29"/>
    </row>
    <row r="79" spans="4:5" s="30" customFormat="1" x14ac:dyDescent="0.35">
      <c r="D79" s="29"/>
      <c r="E79" s="29"/>
    </row>
    <row r="80" spans="4:5" s="30" customFormat="1" x14ac:dyDescent="0.35">
      <c r="D80" s="29"/>
      <c r="E80" s="29"/>
    </row>
    <row r="81" spans="4:5" s="30" customFormat="1" x14ac:dyDescent="0.35">
      <c r="D81" s="29"/>
      <c r="E81" s="29"/>
    </row>
    <row r="82" spans="4:5" s="30" customFormat="1" x14ac:dyDescent="0.35">
      <c r="D82" s="29"/>
      <c r="E82" s="29"/>
    </row>
    <row r="83" spans="4:5" s="30" customFormat="1" x14ac:dyDescent="0.35">
      <c r="D83" s="29"/>
      <c r="E83" s="29"/>
    </row>
    <row r="84" spans="4:5" s="30" customFormat="1" x14ac:dyDescent="0.35">
      <c r="D84" s="29"/>
      <c r="E84" s="29"/>
    </row>
    <row r="85" spans="4:5" s="30" customFormat="1" x14ac:dyDescent="0.35">
      <c r="D85" s="29"/>
      <c r="E85" s="29"/>
    </row>
    <row r="86" spans="4:5" s="30" customFormat="1" x14ac:dyDescent="0.35">
      <c r="D86" s="29"/>
      <c r="E86" s="29"/>
    </row>
    <row r="87" spans="4:5" s="30" customFormat="1" x14ac:dyDescent="0.35">
      <c r="D87" s="29"/>
      <c r="E87" s="29"/>
    </row>
    <row r="88" spans="4:5" s="30" customFormat="1" x14ac:dyDescent="0.35">
      <c r="D88" s="29"/>
      <c r="E88" s="29"/>
    </row>
    <row r="89" spans="4:5" s="30" customFormat="1" x14ac:dyDescent="0.35">
      <c r="D89" s="29"/>
      <c r="E89" s="29"/>
    </row>
    <row r="90" spans="4:5" s="30" customFormat="1" x14ac:dyDescent="0.35">
      <c r="D90" s="29"/>
      <c r="E90" s="29"/>
    </row>
    <row r="91" spans="4:5" s="30" customFormat="1" x14ac:dyDescent="0.35">
      <c r="D91" s="29"/>
      <c r="E91" s="29"/>
    </row>
    <row r="92" spans="4:5" s="30" customFormat="1" x14ac:dyDescent="0.35">
      <c r="D92" s="29"/>
      <c r="E92" s="29"/>
    </row>
    <row r="93" spans="4:5" s="30" customFormat="1" x14ac:dyDescent="0.35">
      <c r="D93" s="29"/>
      <c r="E93" s="29"/>
    </row>
    <row r="94" spans="4:5" s="30" customFormat="1" x14ac:dyDescent="0.35">
      <c r="D94" s="29"/>
      <c r="E94" s="29"/>
    </row>
  </sheetData>
  <mergeCells count="1">
    <mergeCell ref="F7:J7"/>
  </mergeCells>
  <pageMargins left="0" right="0" top="1" bottom="1" header="0.5" footer="0.5"/>
  <pageSetup scale="70" fitToHeight="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4C07-65F8-4E92-9408-845335FD6992}">
  <dimension ref="A1:N54"/>
  <sheetViews>
    <sheetView showGridLines="0" zoomScale="70" zoomScaleNormal="70" zoomScaleSheetLayoutView="40" zoomScalePageLayoutView="85" workbookViewId="0"/>
  </sheetViews>
  <sheetFormatPr defaultRowHeight="15" customHeight="1" x14ac:dyDescent="0.35"/>
  <cols>
    <col min="1" max="3" width="13.54296875" customWidth="1"/>
    <col min="4" max="4" width="21.54296875" style="1115" customWidth="1"/>
    <col min="5" max="5" width="10.453125" style="1115" bestFit="1" customWidth="1"/>
    <col min="6" max="6" width="21" style="8" customWidth="1"/>
    <col min="7" max="7" width="17.81640625" style="8" customWidth="1"/>
    <col min="8" max="11" width="18.54296875" style="8" customWidth="1"/>
    <col min="12" max="12" width="18.81640625" style="8" customWidth="1"/>
    <col min="13" max="13" width="1.81640625" customWidth="1"/>
    <col min="14" max="14" width="11.54296875" bestFit="1" customWidth="1"/>
  </cols>
  <sheetData>
    <row r="1" spans="1:12" ht="15" customHeight="1" x14ac:dyDescent="0.35">
      <c r="A1" s="81" t="s">
        <v>275</v>
      </c>
    </row>
    <row r="3" spans="1:12" ht="15" customHeight="1" x14ac:dyDescent="0.35">
      <c r="D3" s="9" t="str">
        <f>LEFT($D4, FIND(":",$D4)-1)</f>
        <v>Table C13</v>
      </c>
      <c r="E3" s="9"/>
    </row>
    <row r="4" spans="1:12" ht="15" customHeight="1" x14ac:dyDescent="0.35">
      <c r="D4" s="2" t="str">
        <f>ToC!$J$52</f>
        <v>Table C13: Augmentation Details</v>
      </c>
      <c r="E4" s="2"/>
    </row>
    <row r="5" spans="1:12" ht="6" customHeight="1" thickBot="1" x14ac:dyDescent="0.4">
      <c r="D5" s="1138"/>
      <c r="E5" s="1138"/>
      <c r="F5" s="1139"/>
      <c r="G5" s="1139"/>
      <c r="H5" s="1139"/>
      <c r="I5" s="1139"/>
      <c r="J5" s="1139"/>
      <c r="K5" s="1139"/>
      <c r="L5" s="1139"/>
    </row>
    <row r="6" spans="1:12" ht="6" customHeight="1" thickTop="1" x14ac:dyDescent="0.35">
      <c r="D6" s="1140"/>
      <c r="E6" s="1140"/>
      <c r="F6" s="1105"/>
      <c r="G6" s="1105"/>
      <c r="H6" s="1105"/>
      <c r="I6" s="1105"/>
      <c r="J6" s="1105"/>
      <c r="K6" s="1105"/>
      <c r="L6" s="1105"/>
    </row>
    <row r="7" spans="1:12" ht="15" customHeight="1" x14ac:dyDescent="0.35">
      <c r="D7" s="1141" t="s">
        <v>522</v>
      </c>
      <c r="E7" s="1141"/>
      <c r="F7" s="1101" t="s">
        <v>523</v>
      </c>
      <c r="G7" s="2115" t="s">
        <v>524</v>
      </c>
      <c r="H7" s="2115" t="s">
        <v>525</v>
      </c>
      <c r="I7" s="2115" t="s">
        <v>526</v>
      </c>
      <c r="J7" s="2115" t="s">
        <v>527</v>
      </c>
      <c r="K7" s="2115" t="s">
        <v>528</v>
      </c>
      <c r="L7" s="1101" t="s">
        <v>529</v>
      </c>
    </row>
    <row r="8" spans="1:12" ht="15" customHeight="1" x14ac:dyDescent="0.35">
      <c r="F8" s="8" t="s">
        <v>96</v>
      </c>
      <c r="G8" s="8" t="s">
        <v>96</v>
      </c>
      <c r="H8" s="8" t="s">
        <v>96</v>
      </c>
      <c r="I8" s="8" t="s">
        <v>96</v>
      </c>
      <c r="J8" s="8" t="s">
        <v>96</v>
      </c>
      <c r="K8" s="8" t="s">
        <v>96</v>
      </c>
      <c r="L8" s="8" t="s">
        <v>96</v>
      </c>
    </row>
    <row r="9" spans="1:12" ht="6" customHeight="1" x14ac:dyDescent="0.35">
      <c r="D9" s="1142"/>
      <c r="E9" s="1142"/>
      <c r="F9" s="1103"/>
      <c r="G9" s="1103"/>
      <c r="H9" s="1103"/>
      <c r="I9" s="1103"/>
      <c r="J9" s="1103"/>
      <c r="K9" s="1103"/>
      <c r="L9" s="1103"/>
    </row>
    <row r="10" spans="1:12" ht="6" customHeight="1" x14ac:dyDescent="0.35">
      <c r="D10" s="1143"/>
      <c r="E10" s="1143"/>
      <c r="F10" s="1104"/>
      <c r="G10" s="1104"/>
      <c r="H10" s="1104"/>
      <c r="I10" s="1104"/>
      <c r="J10" s="1104"/>
      <c r="K10" s="1104"/>
      <c r="L10" s="1104"/>
    </row>
    <row r="11" spans="1:12" ht="15" customHeight="1" x14ac:dyDescent="0.35">
      <c r="D11" s="140">
        <v>0</v>
      </c>
      <c r="F11" s="1918">
        <v>894.23822726370008</v>
      </c>
      <c r="G11" s="395"/>
      <c r="H11" s="1344"/>
      <c r="I11" s="395"/>
      <c r="J11" s="395"/>
      <c r="K11" s="395"/>
      <c r="L11" s="395">
        <v>894.23822726370008</v>
      </c>
    </row>
    <row r="12" spans="1:12" ht="15" customHeight="1" x14ac:dyDescent="0.35">
      <c r="D12" s="140">
        <v>1</v>
      </c>
      <c r="F12" s="1918">
        <v>853.08433465102257</v>
      </c>
      <c r="G12" s="395"/>
      <c r="H12" s="1344"/>
      <c r="I12" s="395"/>
      <c r="J12" s="395"/>
      <c r="K12" s="395"/>
      <c r="L12" s="395">
        <v>853.08433465102257</v>
      </c>
    </row>
    <row r="13" spans="1:12" ht="15" customHeight="1" x14ac:dyDescent="0.35">
      <c r="D13" s="140">
        <v>2</v>
      </c>
      <c r="F13" s="1918">
        <v>832.05811004105203</v>
      </c>
      <c r="G13" s="395"/>
      <c r="H13" s="1344"/>
      <c r="I13" s="395"/>
      <c r="J13" s="395"/>
      <c r="K13" s="395"/>
      <c r="L13" s="395">
        <v>832.05811004105203</v>
      </c>
    </row>
    <row r="14" spans="1:12" ht="15" customHeight="1" x14ac:dyDescent="0.35">
      <c r="D14" s="140">
        <v>3</v>
      </c>
      <c r="F14" s="1918">
        <v>818.57976093209641</v>
      </c>
      <c r="G14" s="395"/>
      <c r="H14" s="1344"/>
      <c r="I14" s="395"/>
      <c r="J14" s="395"/>
      <c r="K14" s="395"/>
      <c r="L14" s="395">
        <v>818.57976093209641</v>
      </c>
    </row>
    <row r="15" spans="1:12" ht="15" customHeight="1" x14ac:dyDescent="0.35">
      <c r="D15" s="140">
        <v>4</v>
      </c>
      <c r="F15" s="1918">
        <v>805.10141182314101</v>
      </c>
      <c r="G15" s="395"/>
      <c r="H15" s="1344"/>
      <c r="I15" s="395"/>
      <c r="J15" s="395"/>
      <c r="K15" s="395"/>
      <c r="L15" s="395">
        <v>805.10141182314101</v>
      </c>
    </row>
    <row r="16" spans="1:12" ht="15" customHeight="1" x14ac:dyDescent="0.35">
      <c r="D16" s="140">
        <v>5</v>
      </c>
      <c r="F16" s="1918">
        <v>791.62306271418549</v>
      </c>
      <c r="G16" s="395">
        <v>44.539976250000002</v>
      </c>
      <c r="H16" s="1344"/>
      <c r="I16" s="395"/>
      <c r="J16" s="395"/>
      <c r="K16" s="395"/>
      <c r="L16" s="395">
        <v>836.16303896418549</v>
      </c>
    </row>
    <row r="17" spans="4:12" ht="15" customHeight="1" x14ac:dyDescent="0.35">
      <c r="D17" s="140">
        <v>6</v>
      </c>
      <c r="F17" s="1918">
        <v>778.14471360522987</v>
      </c>
      <c r="G17" s="395">
        <v>42.500045337750009</v>
      </c>
      <c r="H17" s="1344"/>
      <c r="I17" s="395"/>
      <c r="J17" s="395"/>
      <c r="K17" s="395"/>
      <c r="L17" s="395">
        <v>820.64475894297993</v>
      </c>
    </row>
    <row r="18" spans="4:12" ht="15" customHeight="1" x14ac:dyDescent="0.35">
      <c r="D18" s="140">
        <v>7</v>
      </c>
      <c r="F18" s="1918">
        <v>764.66636449627447</v>
      </c>
      <c r="G18" s="395">
        <v>41.457809893500006</v>
      </c>
      <c r="H18" s="1344"/>
      <c r="I18" s="395"/>
      <c r="J18" s="395"/>
      <c r="K18" s="395"/>
      <c r="L18" s="395">
        <v>806.12417438977445</v>
      </c>
    </row>
    <row r="19" spans="4:12" ht="15" customHeight="1" x14ac:dyDescent="0.35">
      <c r="D19" s="140">
        <v>8</v>
      </c>
      <c r="F19" s="1918">
        <v>751.18801538731884</v>
      </c>
      <c r="G19" s="395">
        <v>40.789710249750001</v>
      </c>
      <c r="H19" s="1344">
        <v>44.539976250000002</v>
      </c>
      <c r="I19" s="395"/>
      <c r="J19" s="395"/>
      <c r="K19" s="395"/>
      <c r="L19" s="395">
        <v>836.51770188706882</v>
      </c>
    </row>
    <row r="20" spans="4:12" ht="15" customHeight="1" x14ac:dyDescent="0.35">
      <c r="D20" s="140">
        <v>9</v>
      </c>
      <c r="F20" s="1918">
        <v>737.70966627836333</v>
      </c>
      <c r="G20" s="395">
        <v>40.121610605999997</v>
      </c>
      <c r="H20" s="1344">
        <v>42.500045337750009</v>
      </c>
      <c r="I20" s="395"/>
      <c r="J20" s="395"/>
      <c r="K20" s="395"/>
      <c r="L20" s="395">
        <v>820.33132222211339</v>
      </c>
    </row>
    <row r="21" spans="4:12" ht="15" customHeight="1" x14ac:dyDescent="0.35">
      <c r="D21" s="140">
        <v>10</v>
      </c>
      <c r="F21" s="1918">
        <v>724.23131716940793</v>
      </c>
      <c r="G21" s="395">
        <v>39.45351096225</v>
      </c>
      <c r="H21" s="1344">
        <v>41.457809893500006</v>
      </c>
      <c r="I21" s="395"/>
      <c r="J21" s="395"/>
      <c r="K21" s="395"/>
      <c r="L21" s="395">
        <v>805.14263802515791</v>
      </c>
    </row>
    <row r="22" spans="4:12" ht="15" customHeight="1" x14ac:dyDescent="0.35">
      <c r="D22" s="140">
        <v>11</v>
      </c>
      <c r="F22" s="1918">
        <v>710.7529680604523</v>
      </c>
      <c r="G22" s="395">
        <v>38.785411318499996</v>
      </c>
      <c r="H22" s="1344">
        <v>40.789710249750001</v>
      </c>
      <c r="I22" s="395">
        <v>44.539976250000002</v>
      </c>
      <c r="J22" s="395"/>
      <c r="K22" s="395"/>
      <c r="L22" s="395">
        <v>834.86806587870228</v>
      </c>
    </row>
    <row r="23" spans="4:12" ht="15" customHeight="1" x14ac:dyDescent="0.35">
      <c r="D23" s="140">
        <v>12</v>
      </c>
      <c r="F23" s="1918">
        <v>697.2746189514969</v>
      </c>
      <c r="G23" s="395">
        <v>38.117311674749992</v>
      </c>
      <c r="H23" s="1344">
        <v>40.121610605999997</v>
      </c>
      <c r="I23" s="395">
        <v>42.500045337750009</v>
      </c>
      <c r="J23" s="395"/>
      <c r="K23" s="395"/>
      <c r="L23" s="395">
        <v>818.01358656999696</v>
      </c>
    </row>
    <row r="24" spans="4:12" ht="15" customHeight="1" x14ac:dyDescent="0.35">
      <c r="D24" s="140">
        <v>13</v>
      </c>
      <c r="F24" s="1918">
        <v>683.79626984254139</v>
      </c>
      <c r="G24" s="395">
        <v>37.449212030999995</v>
      </c>
      <c r="H24" s="1344">
        <v>39.45351096225</v>
      </c>
      <c r="I24" s="395">
        <v>41.457809893500006</v>
      </c>
      <c r="J24" s="395"/>
      <c r="K24" s="395"/>
      <c r="L24" s="395">
        <v>802.15680272929137</v>
      </c>
    </row>
    <row r="25" spans="4:12" ht="15" customHeight="1" x14ac:dyDescent="0.35">
      <c r="D25" s="140">
        <v>14</v>
      </c>
      <c r="F25" s="1918">
        <v>670.31792073358577</v>
      </c>
      <c r="G25" s="395">
        <v>36.781112387249991</v>
      </c>
      <c r="H25" s="1344">
        <v>38.785411318499996</v>
      </c>
      <c r="I25" s="395">
        <v>40.789710249750001</v>
      </c>
      <c r="J25" s="395">
        <v>62.355966750000007</v>
      </c>
      <c r="K25" s="395"/>
      <c r="L25" s="395">
        <v>849.03012143908575</v>
      </c>
    </row>
    <row r="26" spans="4:12" ht="15" customHeight="1" x14ac:dyDescent="0.35">
      <c r="D26" s="140">
        <v>15</v>
      </c>
      <c r="F26" s="1918">
        <v>656.83957162463037</v>
      </c>
      <c r="G26" s="395">
        <v>36.113012743499993</v>
      </c>
      <c r="H26" s="1344">
        <v>38.117311674749992</v>
      </c>
      <c r="I26" s="395">
        <v>40.121610605999997</v>
      </c>
      <c r="J26" s="395">
        <v>59.500063472850002</v>
      </c>
      <c r="K26" s="395"/>
      <c r="L26" s="395">
        <v>830.69157012173036</v>
      </c>
    </row>
    <row r="27" spans="4:12" ht="15" customHeight="1" x14ac:dyDescent="0.35">
      <c r="D27" s="140">
        <v>16</v>
      </c>
      <c r="F27" s="1918">
        <v>643.36122251567485</v>
      </c>
      <c r="G27" s="395">
        <v>35.444913099749996</v>
      </c>
      <c r="H27" s="1344">
        <v>37.449212030999995</v>
      </c>
      <c r="I27" s="395">
        <v>39.45351096225</v>
      </c>
      <c r="J27" s="395">
        <v>58.040933850900004</v>
      </c>
      <c r="K27" s="395"/>
      <c r="L27" s="395">
        <v>813.74979245957491</v>
      </c>
    </row>
    <row r="28" spans="4:12" ht="15" customHeight="1" x14ac:dyDescent="0.35">
      <c r="D28" s="140">
        <v>17</v>
      </c>
      <c r="F28" s="1918">
        <v>629.88287340671934</v>
      </c>
      <c r="G28" s="395">
        <v>34.776813455999992</v>
      </c>
      <c r="H28" s="1344">
        <v>36.781112387249991</v>
      </c>
      <c r="I28" s="395">
        <v>38.785411318499996</v>
      </c>
      <c r="J28" s="395">
        <v>57.105594349650005</v>
      </c>
      <c r="K28" s="395">
        <v>62.355966750000007</v>
      </c>
      <c r="L28" s="395">
        <v>859.68777166811935</v>
      </c>
    </row>
    <row r="29" spans="4:12" ht="15" customHeight="1" x14ac:dyDescent="0.35">
      <c r="D29" s="140">
        <v>18</v>
      </c>
      <c r="F29" s="1918">
        <v>616.40452429776371</v>
      </c>
      <c r="G29" s="395">
        <v>34.108713812249988</v>
      </c>
      <c r="H29" s="1344">
        <v>36.113012743499993</v>
      </c>
      <c r="I29" s="395">
        <v>38.117311674749992</v>
      </c>
      <c r="J29" s="395">
        <v>56.170254848400006</v>
      </c>
      <c r="K29" s="395">
        <v>59.500063472850002</v>
      </c>
      <c r="L29" s="395">
        <v>840.4138808495137</v>
      </c>
    </row>
    <row r="30" spans="4:12" ht="15" customHeight="1" x14ac:dyDescent="0.35">
      <c r="D30" s="140">
        <v>19</v>
      </c>
      <c r="F30" s="1918">
        <v>602.92617518880832</v>
      </c>
      <c r="G30" s="395">
        <v>33.440614168499991</v>
      </c>
      <c r="H30" s="1344">
        <v>35.444913099749996</v>
      </c>
      <c r="I30" s="395">
        <v>37.449212030999995</v>
      </c>
      <c r="J30" s="395">
        <v>55.234915347149993</v>
      </c>
      <c r="K30" s="395">
        <v>58.040933850900004</v>
      </c>
      <c r="L30" s="395">
        <v>822.53676368610843</v>
      </c>
    </row>
    <row r="31" spans="4:12" ht="15" customHeight="1" x14ac:dyDescent="0.35">
      <c r="D31" s="140">
        <v>20</v>
      </c>
      <c r="F31" s="1918">
        <v>589.4478260798528</v>
      </c>
      <c r="G31" s="395">
        <v>32.772514524749994</v>
      </c>
      <c r="H31" s="1344">
        <v>34.776813455999992</v>
      </c>
      <c r="I31" s="395">
        <v>36.781112387249991</v>
      </c>
      <c r="J31" s="395">
        <v>54.299575845899994</v>
      </c>
      <c r="K31" s="395">
        <v>57.105594349650005</v>
      </c>
      <c r="L31" s="395">
        <v>805.18343664340284</v>
      </c>
    </row>
    <row r="32" spans="4:12" ht="6" customHeight="1" x14ac:dyDescent="0.35">
      <c r="D32" s="1142"/>
      <c r="E32" s="1142"/>
      <c r="F32" s="1103"/>
      <c r="G32" s="1103"/>
      <c r="H32" s="1103"/>
      <c r="I32" s="1103"/>
      <c r="J32" s="1103"/>
      <c r="K32" s="1103"/>
      <c r="L32" s="1103"/>
    </row>
    <row r="33" spans="4:14" ht="6" customHeight="1" x14ac:dyDescent="0.35">
      <c r="D33" s="1143"/>
      <c r="E33" s="1143"/>
      <c r="F33" s="1104"/>
      <c r="G33" s="1104"/>
      <c r="H33" s="1104"/>
      <c r="I33" s="1104"/>
      <c r="J33" s="1104"/>
      <c r="K33" s="1104"/>
      <c r="L33" s="1104"/>
    </row>
    <row r="34" spans="4:14" ht="15" customHeight="1" x14ac:dyDescent="0.35">
      <c r="D34" s="1141"/>
      <c r="E34" s="1141"/>
      <c r="F34" s="1101" t="s">
        <v>287</v>
      </c>
      <c r="G34" s="1101" t="s">
        <v>524</v>
      </c>
      <c r="H34" s="1101" t="s">
        <v>525</v>
      </c>
      <c r="I34" s="1101" t="s">
        <v>526</v>
      </c>
      <c r="J34" s="1101" t="s">
        <v>527</v>
      </c>
      <c r="K34" s="1101" t="s">
        <v>528</v>
      </c>
      <c r="L34" s="1101" t="s">
        <v>64</v>
      </c>
    </row>
    <row r="35" spans="4:14" ht="6" customHeight="1" x14ac:dyDescent="0.35">
      <c r="D35" s="1142"/>
      <c r="E35" s="1142"/>
      <c r="F35" s="1103"/>
      <c r="G35" s="1103"/>
      <c r="H35" s="1103"/>
      <c r="I35" s="1103"/>
      <c r="J35" s="1103"/>
      <c r="K35" s="1103"/>
      <c r="L35" s="1103"/>
    </row>
    <row r="36" spans="4:14" ht="6" customHeight="1" x14ac:dyDescent="0.35">
      <c r="D36" s="1143"/>
      <c r="E36" s="1143"/>
      <c r="F36" s="1104"/>
      <c r="G36" s="1104"/>
      <c r="H36" s="1104"/>
      <c r="I36" s="1104"/>
      <c r="J36" s="1104"/>
      <c r="K36" s="1104"/>
      <c r="L36" s="1104"/>
    </row>
    <row r="37" spans="4:14" ht="15" customHeight="1" x14ac:dyDescent="0.35">
      <c r="D37" s="1115" t="s">
        <v>578</v>
      </c>
      <c r="E37" s="1115" t="s">
        <v>96</v>
      </c>
      <c r="G37" s="1344">
        <f>MAX(G$11:G$31)</f>
        <v>44.539976250000002</v>
      </c>
      <c r="H37" s="1344">
        <f>MAX(H$11:H$31)</f>
        <v>44.539976250000002</v>
      </c>
      <c r="I37" s="395">
        <f>MAX(I$11:I$31)</f>
        <v>44.539976250000002</v>
      </c>
      <c r="J37" s="395">
        <f>MAX(J$11:J$31)</f>
        <v>62.355966750000007</v>
      </c>
      <c r="K37" s="1344">
        <f>MAX(K$11:K$31)</f>
        <v>62.355966750000007</v>
      </c>
      <c r="L37" s="1144"/>
    </row>
    <row r="38" spans="4:14" ht="6" customHeight="1" x14ac:dyDescent="0.35">
      <c r="G38" s="395"/>
      <c r="H38" s="395"/>
      <c r="I38" s="395"/>
      <c r="J38" s="395"/>
      <c r="K38" s="395"/>
      <c r="L38" s="1144"/>
    </row>
    <row r="39" spans="4:14" ht="15" customHeight="1" x14ac:dyDescent="0.35">
      <c r="D39" s="2217" t="s">
        <v>236</v>
      </c>
      <c r="E39" s="1369"/>
      <c r="F39" s="8" t="s">
        <v>288</v>
      </c>
      <c r="G39" s="1145">
        <v>9846800</v>
      </c>
      <c r="H39" s="1145">
        <v>9133900</v>
      </c>
      <c r="I39" s="1145">
        <v>8447700</v>
      </c>
      <c r="J39" s="1145">
        <v>10906800</v>
      </c>
      <c r="K39" s="1145">
        <v>10381300</v>
      </c>
      <c r="L39" s="1145">
        <f>SUM(G39:K39)</f>
        <v>48716500</v>
      </c>
      <c r="N39" s="1023"/>
    </row>
    <row r="40" spans="4:14" ht="15" customHeight="1" x14ac:dyDescent="0.35">
      <c r="D40" s="2217"/>
      <c r="E40" s="1369"/>
      <c r="F40" s="8" t="s">
        <v>289</v>
      </c>
      <c r="G40" s="1145">
        <v>9264800</v>
      </c>
      <c r="H40" s="1145">
        <v>8498000</v>
      </c>
      <c r="I40" s="1145">
        <v>7752800</v>
      </c>
      <c r="J40" s="1145">
        <v>9843800</v>
      </c>
      <c r="K40" s="1145">
        <v>9219700</v>
      </c>
      <c r="L40" s="1145">
        <f>SUM(G40:K40)</f>
        <v>44579100</v>
      </c>
    </row>
    <row r="41" spans="4:14" ht="15" customHeight="1" x14ac:dyDescent="0.35">
      <c r="D41" s="2217"/>
      <c r="E41" s="1369" t="s">
        <v>579</v>
      </c>
      <c r="F41" s="8" t="s">
        <v>290</v>
      </c>
      <c r="G41" s="1145">
        <v>9271000</v>
      </c>
      <c r="H41" s="1145">
        <v>8504700</v>
      </c>
      <c r="I41" s="1145">
        <v>7760200</v>
      </c>
      <c r="J41" s="1145">
        <v>9855000</v>
      </c>
      <c r="K41" s="1145">
        <v>9232000</v>
      </c>
      <c r="L41" s="1145">
        <f>SUM(G41:K41)</f>
        <v>44622900</v>
      </c>
      <c r="N41" s="1023"/>
    </row>
    <row r="42" spans="4:14" ht="15" customHeight="1" x14ac:dyDescent="0.35">
      <c r="D42" s="2217"/>
      <c r="E42" s="1369"/>
      <c r="F42" s="8" t="s">
        <v>291</v>
      </c>
      <c r="G42" s="1145">
        <v>9497900</v>
      </c>
      <c r="H42" s="1145">
        <v>8752700</v>
      </c>
      <c r="I42" s="1145">
        <v>8031100</v>
      </c>
      <c r="J42" s="1145">
        <v>10269500</v>
      </c>
      <c r="K42" s="1145">
        <v>9684900</v>
      </c>
      <c r="L42" s="1145">
        <f>SUM(G42:K42)</f>
        <v>46236100</v>
      </c>
    </row>
    <row r="43" spans="4:14" ht="15" customHeight="1" x14ac:dyDescent="0.35">
      <c r="D43" s="2217"/>
      <c r="E43" s="1369"/>
      <c r="F43" s="8" t="s">
        <v>299</v>
      </c>
      <c r="G43" s="1145">
        <v>10360600</v>
      </c>
      <c r="H43" s="1145">
        <v>9695300</v>
      </c>
      <c r="I43" s="1145">
        <v>9061100</v>
      </c>
      <c r="J43" s="1145">
        <v>11845200</v>
      </c>
      <c r="K43" s="1145">
        <v>11406800</v>
      </c>
      <c r="L43" s="1145">
        <f>SUM(G43:K43)</f>
        <v>52369000</v>
      </c>
    </row>
    <row r="44" spans="4:14" ht="6" customHeight="1" x14ac:dyDescent="0.35">
      <c r="D44" s="1146"/>
      <c r="E44" s="1146"/>
      <c r="F44" s="1103"/>
      <c r="G44" s="1147"/>
      <c r="H44" s="1147"/>
      <c r="I44" s="1147"/>
      <c r="J44" s="1147"/>
      <c r="K44" s="1147"/>
      <c r="L44" s="1147"/>
    </row>
    <row r="45" spans="4:14" ht="6" customHeight="1" x14ac:dyDescent="0.35">
      <c r="D45" s="1148"/>
      <c r="E45" s="1148"/>
      <c r="F45" s="1104"/>
      <c r="G45" s="1149"/>
      <c r="H45" s="1149"/>
      <c r="I45" s="1149"/>
      <c r="J45" s="1149"/>
      <c r="K45" s="1149"/>
      <c r="L45" s="1149"/>
    </row>
    <row r="46" spans="4:14" ht="15" customHeight="1" x14ac:dyDescent="0.35">
      <c r="D46" s="2218" t="s">
        <v>581</v>
      </c>
      <c r="E46" s="1370"/>
      <c r="F46" s="8" t="s">
        <v>288</v>
      </c>
      <c r="G46" s="1600">
        <f t="shared" ref="G46:K50" si="0">G39/MAX(G$11:G$31)/1000</f>
        <v>221.07780086658664</v>
      </c>
      <c r="H46" s="1600">
        <f t="shared" si="0"/>
        <v>205.07195488232887</v>
      </c>
      <c r="I46" s="1600">
        <f t="shared" si="0"/>
        <v>189.66557037623025</v>
      </c>
      <c r="J46" s="1600">
        <f t="shared" si="0"/>
        <v>174.91189004779559</v>
      </c>
      <c r="K46" s="1600">
        <f t="shared" si="0"/>
        <v>166.48446878581993</v>
      </c>
      <c r="L46" s="1460"/>
    </row>
    <row r="47" spans="4:14" ht="15" customHeight="1" x14ac:dyDescent="0.35">
      <c r="D47" s="2218"/>
      <c r="E47" s="1370"/>
      <c r="F47" s="8" t="s">
        <v>289</v>
      </c>
      <c r="G47" s="1600">
        <f t="shared" si="0"/>
        <v>208.01088774716172</v>
      </c>
      <c r="H47" s="1600">
        <f t="shared" si="0"/>
        <v>190.79489293620804</v>
      </c>
      <c r="I47" s="1600">
        <f t="shared" si="0"/>
        <v>174.06385572556292</v>
      </c>
      <c r="J47" s="1600">
        <f t="shared" si="0"/>
        <v>157.86460403165827</v>
      </c>
      <c r="K47" s="1600">
        <f t="shared" si="0"/>
        <v>147.85593874222147</v>
      </c>
      <c r="L47" s="1460"/>
    </row>
    <row r="48" spans="4:14" ht="15" customHeight="1" x14ac:dyDescent="0.35">
      <c r="D48" s="2218"/>
      <c r="E48" s="1369" t="s">
        <v>580</v>
      </c>
      <c r="F48" s="8" t="s">
        <v>290</v>
      </c>
      <c r="G48" s="1600">
        <f t="shared" si="0"/>
        <v>208.1500885398429</v>
      </c>
      <c r="H48" s="1600">
        <f t="shared" si="0"/>
        <v>190.94531959926672</v>
      </c>
      <c r="I48" s="1600">
        <f t="shared" si="0"/>
        <v>174.22999860715012</v>
      </c>
      <c r="J48" s="1600">
        <f t="shared" si="0"/>
        <v>158.04421795769846</v>
      </c>
      <c r="K48" s="1600">
        <f t="shared" si="0"/>
        <v>148.05319332171206</v>
      </c>
      <c r="L48" s="1460"/>
    </row>
    <row r="49" spans="4:12" ht="15" customHeight="1" x14ac:dyDescent="0.35">
      <c r="D49" s="2218"/>
      <c r="E49" s="1370"/>
      <c r="F49" s="8" t="s">
        <v>291</v>
      </c>
      <c r="G49" s="1600">
        <f t="shared" si="0"/>
        <v>213.24438851715823</v>
      </c>
      <c r="H49" s="1600">
        <f t="shared" si="0"/>
        <v>196.5133513065131</v>
      </c>
      <c r="I49" s="1600">
        <f t="shared" si="0"/>
        <v>180.31217517768658</v>
      </c>
      <c r="J49" s="1600">
        <f t="shared" si="0"/>
        <v>164.69153691695431</v>
      </c>
      <c r="K49" s="1600">
        <f t="shared" si="0"/>
        <v>155.31633145596285</v>
      </c>
      <c r="L49" s="1460"/>
    </row>
    <row r="50" spans="4:12" ht="15" customHeight="1" x14ac:dyDescent="0.35">
      <c r="D50" s="2218"/>
      <c r="E50" s="1370"/>
      <c r="F50" s="8" t="s">
        <v>299</v>
      </c>
      <c r="G50" s="1600">
        <f t="shared" si="0"/>
        <v>232.61350526651884</v>
      </c>
      <c r="H50" s="1600">
        <f t="shared" si="0"/>
        <v>217.6763621422003</v>
      </c>
      <c r="I50" s="1600">
        <f t="shared" si="0"/>
        <v>203.43746815536298</v>
      </c>
      <c r="J50" s="1600">
        <f t="shared" si="0"/>
        <v>189.96097113673565</v>
      </c>
      <c r="K50" s="1600">
        <f t="shared" si="0"/>
        <v>182.93036888887619</v>
      </c>
      <c r="L50" s="1460"/>
    </row>
    <row r="51" spans="4:12" ht="6" customHeight="1" thickBot="1" x14ac:dyDescent="0.4">
      <c r="D51" s="1138"/>
      <c r="E51" s="1138"/>
      <c r="F51" s="1139"/>
      <c r="G51" s="1139"/>
      <c r="H51" s="1139"/>
      <c r="I51" s="1139"/>
      <c r="J51" s="1139"/>
      <c r="K51" s="1139"/>
      <c r="L51" s="1139"/>
    </row>
    <row r="52" spans="4:12" ht="6" customHeight="1" thickTop="1" x14ac:dyDescent="0.35">
      <c r="D52" s="1140"/>
      <c r="E52" s="1140"/>
      <c r="F52" s="1105"/>
      <c r="G52" s="1105"/>
      <c r="H52" s="1105"/>
      <c r="I52" s="1105"/>
      <c r="J52" s="1105"/>
      <c r="K52" s="1105"/>
      <c r="L52" s="1105"/>
    </row>
    <row r="53" spans="4:12" ht="15" customHeight="1" x14ac:dyDescent="0.35">
      <c r="D53" s="1115" t="s">
        <v>582</v>
      </c>
    </row>
    <row r="54" spans="4:12" ht="15" customHeight="1" x14ac:dyDescent="0.35">
      <c r="D54" s="1115" t="s">
        <v>583</v>
      </c>
    </row>
  </sheetData>
  <mergeCells count="2">
    <mergeCell ref="D39:D43"/>
    <mergeCell ref="D46:D50"/>
  </mergeCells>
  <pageMargins left="0.7" right="0.7" top="0.75" bottom="0.75" header="0.3" footer="0.3"/>
  <pageSetup scale="2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BE17-FC90-4744-AB22-AD00812E6C73}">
  <sheetPr codeName="Sheet19">
    <pageSetUpPr autoPageBreaks="0"/>
  </sheetPr>
  <dimension ref="A1:BJ18"/>
  <sheetViews>
    <sheetView showGridLines="0" zoomScale="70" zoomScaleNormal="70" workbookViewId="0"/>
  </sheetViews>
  <sheetFormatPr defaultColWidth="9.1796875" defaultRowHeight="14.5" outlineLevelCol="1" x14ac:dyDescent="0.35"/>
  <cols>
    <col min="1" max="3" width="13.54296875" style="106" customWidth="1"/>
    <col min="4" max="4" width="30.453125" style="106" bestFit="1" customWidth="1"/>
    <col min="5" max="5" width="10.54296875" style="106" bestFit="1" customWidth="1"/>
    <col min="6" max="6" width="13.54296875" style="106" customWidth="1"/>
    <col min="7" max="7" width="1" style="106" customWidth="1"/>
    <col min="8" max="8" width="7.1796875" style="106" customWidth="1"/>
    <col min="9" max="11" width="8.54296875" style="106" customWidth="1"/>
    <col min="12" max="13" width="8.81640625" style="106" customWidth="1"/>
    <col min="14" max="14" width="9.1796875" style="106"/>
    <col min="15" max="15" width="9.81640625" style="106" customWidth="1"/>
    <col min="16" max="50" width="9.1796875" style="106"/>
    <col min="51" max="51" width="9.1796875" style="1124"/>
    <col min="52" max="60" width="9.1796875" style="106"/>
    <col min="61" max="61" width="0" style="413" hidden="1" customWidth="1" outlineLevel="1"/>
    <col min="62" max="62" width="9.1796875" style="106" collapsed="1"/>
    <col min="63" max="16384" width="9.1796875" style="106"/>
  </cols>
  <sheetData>
    <row r="1" spans="1:61" ht="15" customHeight="1" x14ac:dyDescent="0.35">
      <c r="A1" s="106" t="s">
        <v>275</v>
      </c>
      <c r="D1" s="107"/>
    </row>
    <row r="2" spans="1:61" ht="15" customHeight="1" x14ac:dyDescent="0.35">
      <c r="D2" s="107"/>
    </row>
    <row r="3" spans="1:61" s="83" customFormat="1" ht="15" customHeight="1" x14ac:dyDescent="0.35">
      <c r="D3" s="88" t="str">
        <f>LEFT($D4, FIND(":",$D4)-1)</f>
        <v>Table C14</v>
      </c>
      <c r="AY3" s="62"/>
      <c r="BI3" s="71"/>
    </row>
    <row r="4" spans="1:61" s="83" customFormat="1" ht="15" customHeight="1" x14ac:dyDescent="0.35">
      <c r="D4" s="86" t="str">
        <f>ToC!$J$53</f>
        <v>Table C14: Capital Drawdown Schedule</v>
      </c>
      <c r="AY4" s="62"/>
      <c r="BI4" s="71"/>
    </row>
    <row r="5" spans="1:61" ht="6" customHeight="1" thickBot="1" x14ac:dyDescent="0.4">
      <c r="D5" s="10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126"/>
      <c r="AZ5" s="109"/>
      <c r="BA5" s="109"/>
      <c r="BB5" s="109"/>
      <c r="BC5" s="109"/>
      <c r="BD5" s="109"/>
      <c r="BE5" s="109"/>
      <c r="BF5" s="109"/>
    </row>
    <row r="6" spans="1:61" ht="6" customHeight="1" thickTop="1" x14ac:dyDescent="0.35">
      <c r="D6" s="107"/>
    </row>
    <row r="7" spans="1:61" ht="15" customHeight="1" x14ac:dyDescent="0.35">
      <c r="D7" s="110" t="s">
        <v>1</v>
      </c>
      <c r="E7" s="110" t="s">
        <v>71</v>
      </c>
      <c r="F7" s="412" t="s">
        <v>72</v>
      </c>
      <c r="G7" s="111"/>
      <c r="H7" s="112" t="s">
        <v>73</v>
      </c>
      <c r="I7" s="111"/>
      <c r="J7" s="111"/>
      <c r="K7" s="111"/>
      <c r="L7" s="111"/>
      <c r="M7" s="111"/>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row>
    <row r="8" spans="1:61" ht="15" customHeight="1" x14ac:dyDescent="0.35">
      <c r="D8" s="114"/>
      <c r="E8" s="110" t="s">
        <v>74</v>
      </c>
      <c r="F8" s="412" t="s">
        <v>75</v>
      </c>
      <c r="G8" s="115"/>
      <c r="H8" s="1122">
        <v>1</v>
      </c>
      <c r="I8" s="1122">
        <v>2</v>
      </c>
      <c r="J8" s="1122">
        <v>3</v>
      </c>
      <c r="K8" s="1122">
        <v>4</v>
      </c>
      <c r="L8" s="1122">
        <v>5</v>
      </c>
      <c r="M8" s="1122">
        <v>6</v>
      </c>
      <c r="N8" s="1122">
        <v>7</v>
      </c>
      <c r="O8" s="1122">
        <v>8</v>
      </c>
      <c r="P8" s="1122">
        <v>9</v>
      </c>
      <c r="Q8" s="1122">
        <v>10</v>
      </c>
      <c r="R8" s="1122">
        <v>11</v>
      </c>
      <c r="S8" s="1122">
        <v>12</v>
      </c>
      <c r="T8" s="1122">
        <v>13</v>
      </c>
      <c r="U8" s="1122">
        <v>14</v>
      </c>
      <c r="V8" s="1122">
        <v>15</v>
      </c>
      <c r="W8" s="1122">
        <v>16</v>
      </c>
      <c r="X8" s="1122">
        <v>17</v>
      </c>
      <c r="Y8" s="1122">
        <v>18</v>
      </c>
      <c r="Z8" s="1122">
        <v>19</v>
      </c>
      <c r="AA8" s="1122">
        <v>20</v>
      </c>
      <c r="AB8" s="1122">
        <v>21</v>
      </c>
      <c r="AC8" s="1122">
        <v>22</v>
      </c>
      <c r="AD8" s="1122">
        <v>23</v>
      </c>
      <c r="AE8" s="1122">
        <v>24</v>
      </c>
      <c r="AF8" s="1122">
        <v>25</v>
      </c>
      <c r="AG8" s="1122">
        <v>26</v>
      </c>
      <c r="AH8" s="1122">
        <v>27</v>
      </c>
      <c r="AI8" s="1122">
        <v>28</v>
      </c>
      <c r="AJ8" s="1122">
        <v>29</v>
      </c>
      <c r="AK8" s="1122">
        <v>30</v>
      </c>
      <c r="AL8" s="1122">
        <v>31</v>
      </c>
      <c r="AM8" s="1122">
        <v>32</v>
      </c>
      <c r="AN8" s="1122">
        <v>33</v>
      </c>
      <c r="AO8" s="1122">
        <v>34</v>
      </c>
      <c r="AP8" s="1122">
        <v>35</v>
      </c>
      <c r="AQ8" s="1122">
        <v>36</v>
      </c>
      <c r="AR8" s="1122">
        <v>37</v>
      </c>
      <c r="AS8" s="1122">
        <v>38</v>
      </c>
      <c r="AT8" s="1122">
        <v>39</v>
      </c>
      <c r="AU8" s="1122">
        <v>40</v>
      </c>
      <c r="AV8" s="1122">
        <v>41</v>
      </c>
      <c r="AW8" s="1123">
        <v>42</v>
      </c>
      <c r="AX8" s="1123">
        <v>43</v>
      </c>
      <c r="AY8" s="1125">
        <v>44</v>
      </c>
      <c r="AZ8" s="1123">
        <v>45</v>
      </c>
      <c r="BA8" s="1123">
        <v>46</v>
      </c>
      <c r="BB8" s="1123">
        <v>47</v>
      </c>
      <c r="BC8" s="1123">
        <v>48</v>
      </c>
      <c r="BD8" s="1123">
        <v>49</v>
      </c>
      <c r="BE8" s="1123">
        <v>50</v>
      </c>
      <c r="BF8" s="107" t="s">
        <v>64</v>
      </c>
    </row>
    <row r="9" spans="1:61" ht="6" customHeight="1" x14ac:dyDescent="0.35">
      <c r="D9" s="117"/>
      <c r="E9" s="118"/>
      <c r="F9" s="118"/>
      <c r="G9" s="119"/>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127"/>
      <c r="AX9" s="1127"/>
      <c r="AY9" s="1128"/>
      <c r="AZ9" s="1129"/>
      <c r="BA9" s="1129"/>
      <c r="BB9" s="1129"/>
      <c r="BC9" s="1129"/>
      <c r="BD9" s="1129"/>
      <c r="BE9" s="1129"/>
      <c r="BF9" s="1129"/>
    </row>
    <row r="10" spans="1:61" ht="6" customHeight="1" x14ac:dyDescent="0.35">
      <c r="D10" s="114"/>
      <c r="E10" s="121"/>
      <c r="F10" s="121"/>
      <c r="G10" s="115"/>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3"/>
      <c r="AX10" s="113"/>
    </row>
    <row r="11" spans="1:61" ht="15" customHeight="1" x14ac:dyDescent="0.35">
      <c r="A11" s="122"/>
      <c r="B11" s="122"/>
      <c r="C11" s="122"/>
      <c r="D11" s="130" t="s">
        <v>354</v>
      </c>
      <c r="E11" s="1324">
        <v>44</v>
      </c>
      <c r="F11" s="1324">
        <v>15</v>
      </c>
      <c r="G11" s="1120"/>
      <c r="H11" s="184">
        <v>2.5699810694224622E-2</v>
      </c>
      <c r="I11" s="184">
        <v>2.5322314418272662E-2</v>
      </c>
      <c r="J11" s="184">
        <v>2.1739130434782608E-2</v>
      </c>
      <c r="K11" s="184">
        <v>8.4947440104893995E-2</v>
      </c>
      <c r="L11" s="184">
        <v>3.794524194674611E-2</v>
      </c>
      <c r="M11" s="184">
        <v>2.1739130434782608E-2</v>
      </c>
      <c r="N11" s="184">
        <v>5.9668820427911259E-2</v>
      </c>
      <c r="O11" s="184">
        <v>3.437199246341386E-2</v>
      </c>
      <c r="P11" s="184">
        <v>3.437199246341386E-2</v>
      </c>
      <c r="Q11" s="184">
        <v>2.7621839885806843E-2</v>
      </c>
      <c r="R11" s="184">
        <v>2.7621839885806843E-2</v>
      </c>
      <c r="S11" s="184">
        <v>2.7551020408163266E-2</v>
      </c>
      <c r="T11" s="184">
        <v>2.8527131870333278E-2</v>
      </c>
      <c r="U11" s="184">
        <v>2.8527131870333278E-2</v>
      </c>
      <c r="V11" s="184">
        <v>2.8527131870333278E-2</v>
      </c>
      <c r="W11" s="184">
        <v>2.9818397639296921E-2</v>
      </c>
      <c r="X11" s="184">
        <v>2.8141158085896064E-2</v>
      </c>
      <c r="Y11" s="184">
        <v>2.5709609805499592E-2</v>
      </c>
      <c r="Z11" s="184">
        <v>2.5172652763531572E-2</v>
      </c>
      <c r="AA11" s="184">
        <v>2.5172652763531572E-2</v>
      </c>
      <c r="AB11" s="184">
        <v>2.2204147441167076E-2</v>
      </c>
      <c r="AC11" s="184">
        <v>2.2204147441167076E-2</v>
      </c>
      <c r="AD11" s="184">
        <v>2.2204147441167076E-2</v>
      </c>
      <c r="AE11" s="184">
        <v>2.2448979591836733E-2</v>
      </c>
      <c r="AF11" s="184">
        <v>2.091288167220344E-2</v>
      </c>
      <c r="AG11" s="184">
        <v>2.091288167220344E-2</v>
      </c>
      <c r="AH11" s="184">
        <v>1.9621615903239804E-2</v>
      </c>
      <c r="AI11" s="184">
        <v>1.8330350134276165E-2</v>
      </c>
      <c r="AJ11" s="184">
        <v>1.239333948954718E-2</v>
      </c>
      <c r="AK11" s="184">
        <v>1.1224489795918367E-2</v>
      </c>
      <c r="AL11" s="184">
        <v>1.1224489795918367E-2</v>
      </c>
      <c r="AM11" s="184">
        <v>1.1224489795918367E-2</v>
      </c>
      <c r="AN11" s="184">
        <v>1.020408163265306E-2</v>
      </c>
      <c r="AO11" s="184">
        <v>1.020408163265306E-2</v>
      </c>
      <c r="AP11" s="184">
        <v>1.020408163265306E-2</v>
      </c>
      <c r="AQ11" s="184">
        <v>9.1836734693877542E-3</v>
      </c>
      <c r="AR11" s="184">
        <v>9.1836734693877542E-3</v>
      </c>
      <c r="AS11" s="184">
        <v>9.1836734693877542E-3</v>
      </c>
      <c r="AT11" s="184">
        <v>8.1632653061224497E-3</v>
      </c>
      <c r="AU11" s="184">
        <v>8.1632653061224497E-3</v>
      </c>
      <c r="AV11" s="184">
        <v>8.1632653061224497E-3</v>
      </c>
      <c r="AW11" s="184">
        <v>7.1428571428571435E-3</v>
      </c>
      <c r="AX11" s="184">
        <v>7.1428571428571435E-3</v>
      </c>
      <c r="AY11" s="184">
        <v>0.04</v>
      </c>
      <c r="AZ11" s="184"/>
      <c r="BA11" s="184"/>
      <c r="BB11" s="184"/>
      <c r="BC11" s="184"/>
      <c r="BD11" s="184"/>
      <c r="BE11" s="184"/>
      <c r="BF11" s="184">
        <f>SUM(H11:BE11)</f>
        <v>1.0000411759217411</v>
      </c>
      <c r="BG11" s="1121"/>
      <c r="BH11" s="1121"/>
      <c r="BI11" s="413" t="s">
        <v>281</v>
      </c>
    </row>
    <row r="12" spans="1:61" ht="15" customHeight="1" x14ac:dyDescent="0.35">
      <c r="A12" s="122"/>
      <c r="B12" s="122"/>
      <c r="C12" s="122"/>
      <c r="D12" s="130" t="s">
        <v>355</v>
      </c>
      <c r="E12" s="81">
        <v>50</v>
      </c>
      <c r="F12" s="81">
        <v>16</v>
      </c>
      <c r="G12" s="1120"/>
      <c r="H12" s="184">
        <v>2.3643825838686655E-2</v>
      </c>
      <c r="I12" s="184">
        <v>2.329652926481085E-2</v>
      </c>
      <c r="J12" s="184">
        <v>0.02</v>
      </c>
      <c r="K12" s="184">
        <v>7.8059644896502509E-2</v>
      </c>
      <c r="L12" s="184">
        <v>3.4909622591006419E-2</v>
      </c>
      <c r="M12" s="184">
        <v>0.02</v>
      </c>
      <c r="N12" s="184">
        <v>5.4895314793678353E-2</v>
      </c>
      <c r="O12" s="184">
        <v>3.1622233066340752E-2</v>
      </c>
      <c r="P12" s="184">
        <v>3.1622233066340752E-2</v>
      </c>
      <c r="Q12" s="184">
        <v>2.7069403088090707E-2</v>
      </c>
      <c r="R12" s="184">
        <v>2.7069403088090707E-2</v>
      </c>
      <c r="S12" s="184">
        <v>2.7E-2</v>
      </c>
      <c r="T12" s="184">
        <v>2.7956589232926612E-2</v>
      </c>
      <c r="U12" s="184">
        <v>2.7956589232926612E-2</v>
      </c>
      <c r="V12" s="184">
        <v>2.7956589232926612E-2</v>
      </c>
      <c r="W12" s="184">
        <v>2.9222029686510984E-2</v>
      </c>
      <c r="X12" s="184">
        <v>2.7578334924178143E-2</v>
      </c>
      <c r="Y12" s="184">
        <v>2.5195417609389571E-2</v>
      </c>
      <c r="Z12" s="184">
        <v>2.4669199708260942E-2</v>
      </c>
      <c r="AA12" s="184">
        <v>2.4669199708260942E-2</v>
      </c>
      <c r="AB12" s="184">
        <v>2.1760064492343734E-2</v>
      </c>
      <c r="AC12" s="184">
        <v>2.1760064492343734E-2</v>
      </c>
      <c r="AD12" s="184">
        <v>2.1760064492343734E-2</v>
      </c>
      <c r="AE12" s="184">
        <v>2.1999999999999999E-2</v>
      </c>
      <c r="AF12" s="184">
        <v>2.0494624038759374E-2</v>
      </c>
      <c r="AG12" s="184">
        <v>2.0494624038759374E-2</v>
      </c>
      <c r="AH12" s="184">
        <v>1.9229183585175006E-2</v>
      </c>
      <c r="AI12" s="184">
        <v>1.7963743131590642E-2</v>
      </c>
      <c r="AJ12" s="184">
        <v>1.2145472699756237E-2</v>
      </c>
      <c r="AK12" s="184">
        <v>1.0999999999999999E-2</v>
      </c>
      <c r="AL12" s="184">
        <v>1.0999999999999999E-2</v>
      </c>
      <c r="AM12" s="184">
        <v>1.0999999999999999E-2</v>
      </c>
      <c r="AN12" s="184">
        <v>0.01</v>
      </c>
      <c r="AO12" s="184">
        <v>0.01</v>
      </c>
      <c r="AP12" s="184">
        <v>0.01</v>
      </c>
      <c r="AQ12" s="184">
        <v>8.9999999999999993E-3</v>
      </c>
      <c r="AR12" s="184">
        <v>8.9999999999999993E-3</v>
      </c>
      <c r="AS12" s="184">
        <v>8.9999999999999993E-3</v>
      </c>
      <c r="AT12" s="184">
        <v>8.0000000000000002E-3</v>
      </c>
      <c r="AU12" s="184">
        <v>8.0000000000000002E-3</v>
      </c>
      <c r="AV12" s="184">
        <v>8.0000000000000002E-3</v>
      </c>
      <c r="AW12" s="184">
        <v>7.0000000000000001E-3</v>
      </c>
      <c r="AX12" s="184">
        <v>7.0000000000000001E-3</v>
      </c>
      <c r="AY12" s="184">
        <v>7.0000000000000001E-3</v>
      </c>
      <c r="AZ12" s="184">
        <v>7.0000000000000001E-3</v>
      </c>
      <c r="BA12" s="184">
        <v>7.0000000000000001E-3</v>
      </c>
      <c r="BB12" s="184">
        <v>7.0000000000000001E-3</v>
      </c>
      <c r="BC12" s="184">
        <v>6.0000000000000001E-3</v>
      </c>
      <c r="BD12" s="184">
        <v>6.0000000000000001E-3</v>
      </c>
      <c r="BE12" s="184">
        <v>0.04</v>
      </c>
      <c r="BF12" s="184">
        <f t="shared" ref="BF12:BF13" si="0">SUM(H12:BE12)</f>
        <v>1</v>
      </c>
      <c r="BG12" s="1121"/>
      <c r="BH12" s="1121"/>
      <c r="BI12" s="413" t="s">
        <v>283</v>
      </c>
    </row>
    <row r="13" spans="1:61" ht="15" customHeight="1" x14ac:dyDescent="0.35">
      <c r="A13" s="122"/>
      <c r="B13" s="122"/>
      <c r="C13" s="122"/>
      <c r="D13" s="130" t="s">
        <v>356</v>
      </c>
      <c r="E13" s="1324">
        <v>20</v>
      </c>
      <c r="F13" s="1324">
        <v>10</v>
      </c>
      <c r="G13" s="1120"/>
      <c r="H13" s="184">
        <v>7.1999999999999998E-3</v>
      </c>
      <c r="I13" s="184">
        <v>1.1627249999999999E-2</v>
      </c>
      <c r="J13" s="184">
        <v>0.27947100000000002</v>
      </c>
      <c r="K13" s="184">
        <v>0.103894</v>
      </c>
      <c r="L13" s="184">
        <v>1.338375E-2</v>
      </c>
      <c r="M13" s="184">
        <v>1.4020499999999998E-2</v>
      </c>
      <c r="N13" s="184">
        <v>1.5994500000000002E-2</v>
      </c>
      <c r="O13" s="184">
        <v>1.8965249999999999E-2</v>
      </c>
      <c r="P13" s="184">
        <v>2.18835E-2</v>
      </c>
      <c r="Q13" s="184">
        <v>2.362125E-2</v>
      </c>
      <c r="R13" s="184">
        <v>2.3591999999999998E-2</v>
      </c>
      <c r="S13" s="184">
        <v>2.3250750000000001E-2</v>
      </c>
      <c r="T13" s="184">
        <v>2.0593500000000001E-2</v>
      </c>
      <c r="U13" s="184">
        <v>0.22913324999999998</v>
      </c>
      <c r="V13" s="184">
        <v>9.8856499999999986E-2</v>
      </c>
      <c r="W13" s="184">
        <v>1.0478250000000001E-2</v>
      </c>
      <c r="X13" s="184">
        <v>5.2919999999999998E-3</v>
      </c>
      <c r="Y13" s="184">
        <v>1.6702499999999999E-3</v>
      </c>
      <c r="Z13" s="184">
        <v>2.362825E-2</v>
      </c>
      <c r="AA13" s="184">
        <v>5.3444249999999999E-2</v>
      </c>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f t="shared" si="0"/>
        <v>1</v>
      </c>
      <c r="BG13" s="1121"/>
      <c r="BH13" s="1121"/>
      <c r="BI13" s="413" t="s">
        <v>282</v>
      </c>
    </row>
    <row r="14" spans="1:61" ht="6" customHeight="1" thickBot="1" x14ac:dyDescent="0.4">
      <c r="D14" s="123"/>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126"/>
      <c r="AZ14" s="109"/>
      <c r="BA14" s="109"/>
      <c r="BB14" s="109"/>
      <c r="BC14" s="109"/>
      <c r="BD14" s="109"/>
      <c r="BE14" s="109"/>
      <c r="BF14" s="109"/>
    </row>
    <row r="15" spans="1:61" ht="6" customHeight="1" thickTop="1" x14ac:dyDescent="0.35"/>
    <row r="16" spans="1:61" ht="15" customHeight="1" x14ac:dyDescent="0.35">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row>
    <row r="18" spans="13:13" x14ac:dyDescent="0.35">
      <c r="M18" s="125"/>
    </row>
  </sheetData>
  <printOptions horizontalCentered="1"/>
  <pageMargins left="0.7" right="0.7" top="0.75" bottom="0.75" header="0.3" footer="0.3"/>
  <pageSetup orientation="landscape" horizontalDpi="1200" verticalDpi="1200" r:id="rId1"/>
  <headerFooter scaleWithDoc="0">
    <oddFooter>&amp;CSubject to the Disclaimer on the Cover 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vt:i4>
      </vt:variant>
    </vt:vector>
  </HeadingPairs>
  <TitlesOfParts>
    <vt:vector size="57" baseType="lpstr">
      <vt:lpstr>Cover Page</vt:lpstr>
      <vt:lpstr>ToC</vt:lpstr>
      <vt:lpstr>Read Me</vt:lpstr>
      <vt:lpstr>Control</vt:lpstr>
      <vt:lpstr>Tables &gt;&gt;</vt:lpstr>
      <vt:lpstr>Net CONE-RTO Benchmarks</vt:lpstr>
      <vt:lpstr>CONE-All Areas</vt:lpstr>
      <vt:lpstr>CONE Summary - CT</vt:lpstr>
      <vt:lpstr>CONE Summary - CC</vt:lpstr>
      <vt:lpstr>CONE Summary - BESS</vt:lpstr>
      <vt:lpstr>Capital Costs - CT</vt:lpstr>
      <vt:lpstr>Capital Costs - CC</vt:lpstr>
      <vt:lpstr>Capital Costs - BESS</vt:lpstr>
      <vt:lpstr>O&amp;M Costs - CT</vt:lpstr>
      <vt:lpstr>O&amp;M Costs - CC</vt:lpstr>
      <vt:lpstr>O&amp;M Costs - BESS</vt:lpstr>
      <vt:lpstr>Reservation Price Analysis &gt;&gt;</vt:lpstr>
      <vt:lpstr>Reservation Prices Table</vt:lpstr>
      <vt:lpstr>Reservation Price</vt:lpstr>
      <vt:lpstr>Main Analysis &gt;&gt;</vt:lpstr>
      <vt:lpstr>Cash Flows</vt:lpstr>
      <vt:lpstr>Construction Costs</vt:lpstr>
      <vt:lpstr>Supporting Analysis &gt;&gt;</vt:lpstr>
      <vt:lpstr>Annual FOM Costs</vt:lpstr>
      <vt:lpstr>CT OM Costs</vt:lpstr>
      <vt:lpstr>CC OM Costs</vt:lpstr>
      <vt:lpstr>BESS OM Costs</vt:lpstr>
      <vt:lpstr>Annual Property Tax Costs</vt:lpstr>
      <vt:lpstr>CT Capital Costs</vt:lpstr>
      <vt:lpstr>CC Capital Costs</vt:lpstr>
      <vt:lpstr>BESS Capital Costs</vt:lpstr>
      <vt:lpstr>Cumulative Inflation</vt:lpstr>
      <vt:lpstr>Data &gt;&gt;</vt:lpstr>
      <vt:lpstr>Brattle &gt;&gt;</vt:lpstr>
      <vt:lpstr>Working Cap and Tax Rates</vt:lpstr>
      <vt:lpstr>Land Cost</vt:lpstr>
      <vt:lpstr>Tax Depreciation</vt:lpstr>
      <vt:lpstr>Inflation Forecast</vt:lpstr>
      <vt:lpstr>BESS Augmentation Trend</vt:lpstr>
      <vt:lpstr>Property Tax Rates</vt:lpstr>
      <vt:lpstr>S&amp;L &gt;&gt;</vt:lpstr>
      <vt:lpstr>S&amp;L CC+CT - Cost Assumptions</vt:lpstr>
      <vt:lpstr>S&amp;L CC+CT - Capital Costs</vt:lpstr>
      <vt:lpstr>S&amp;L CC+CT - O&amp;M Costs</vt:lpstr>
      <vt:lpstr>S&amp;L BESS - Cost Assumptions</vt:lpstr>
      <vt:lpstr>S&amp;L BESS - Capital Costs</vt:lpstr>
      <vt:lpstr>S&amp;L BESS - O&amp;M Costs</vt:lpstr>
      <vt:lpstr>S&amp;L Augmentation Details</vt:lpstr>
      <vt:lpstr>S&amp;L Capital Drawdown Schedule</vt:lpstr>
      <vt:lpstr>'CONE Summary - CC'!Print_Area</vt:lpstr>
      <vt:lpstr>'CONE Summary - CT'!Print_Area</vt:lpstr>
      <vt:lpstr>'Cover Page'!Print_Area</vt:lpstr>
      <vt:lpstr>'S&amp;L BESS - O&amp;M Costs'!Print_Area</vt:lpstr>
      <vt:lpstr>'S&amp;L CC+CT - Capital Costs'!Print_Area</vt:lpstr>
      <vt:lpstr>'S&amp;L CC+CT - O&amp;M Costs'!Print_Area</vt:lpstr>
      <vt:lpstr>ToC!Print_Area</vt:lpstr>
      <vt:lpstr>Technology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2024-06-11T01:09:35Z</dcterms:created>
  <dcterms:modified xsi:type="dcterms:W3CDTF">2025-04-18T12:40:04Z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lpwstr>#REF!</vt:lpwstr>
  </property>
  <property fmtid="{D5CDD505-2E9C-101B-9397-08002B2CF9AE}" pid="3" name="Tax_Rate" linkTarget="Prop_Tax_Rate">
    <vt:lpwstr>#REF!</vt:lpwstr>
  </property>
  <property fmtid="{D5CDD505-2E9C-101B-9397-08002B2CF9AE}" pid="4" name="MSIP_Label_7084cbda-52b8-46fb-a7b7-cb5bd465ed85_Enabled">
    <vt:lpwstr>true</vt:lpwstr>
  </property>
  <property fmtid="{D5CDD505-2E9C-101B-9397-08002B2CF9AE}" pid="5" name="MSIP_Label_7084cbda-52b8-46fb-a7b7-cb5bd465ed85_SetDate">
    <vt:lpwstr>2024-06-14T16:47:15Z</vt:lpwstr>
  </property>
  <property fmtid="{D5CDD505-2E9C-101B-9397-08002B2CF9AE}" pid="6" name="MSIP_Label_7084cbda-52b8-46fb-a7b7-cb5bd465ed85_Method">
    <vt:lpwstr>Standard</vt:lpwstr>
  </property>
  <property fmtid="{D5CDD505-2E9C-101B-9397-08002B2CF9AE}" pid="7" name="MSIP_Label_7084cbda-52b8-46fb-a7b7-cb5bd465ed85_Name">
    <vt:lpwstr>Internal</vt:lpwstr>
  </property>
  <property fmtid="{D5CDD505-2E9C-101B-9397-08002B2CF9AE}" pid="8" name="MSIP_Label_7084cbda-52b8-46fb-a7b7-cb5bd465ed85_SiteId">
    <vt:lpwstr>0afb747d-bff7-4596-a9fc-950ef9e0ec45</vt:lpwstr>
  </property>
  <property fmtid="{D5CDD505-2E9C-101B-9397-08002B2CF9AE}" pid="9" name="MSIP_Label_7084cbda-52b8-46fb-a7b7-cb5bd465ed85_ActionId">
    <vt:lpwstr>b62b505a-b2e7-4d11-8667-d031ec853095</vt:lpwstr>
  </property>
  <property fmtid="{D5CDD505-2E9C-101B-9397-08002B2CF9AE}" pid="10" name="MSIP_Label_7084cbda-52b8-46fb-a7b7-cb5bd465ed85_ContentBits">
    <vt:lpwstr>0</vt:lpwstr>
  </property>
  <property fmtid="{D5CDD505-2E9C-101B-9397-08002B2CF9AE}" pid="11" name="{A44787D4-0540-4523-9961-78E4036D8C6D}">
    <vt:lpwstr>{68A4222B-14A4-493B-9867-352E9580DFEF}</vt:lpwstr>
  </property>
</Properties>
</file>