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Cost Containment Templates\"/>
    </mc:Choice>
  </mc:AlternateContent>
  <bookViews>
    <workbookView xWindow="360" yWindow="180" windowWidth="13400" windowHeight="7670"/>
  </bookViews>
  <sheets>
    <sheet name="Sheet1" sheetId="1" r:id="rId1"/>
    <sheet name="Sheet2" sheetId="2" r:id="rId2"/>
    <sheet name="Sheet3" sheetId="3" r:id="rId3"/>
  </sheets>
  <definedNames>
    <definedName name="_Toc460316066" localSheetId="0">Sheet1!#REF!</definedName>
    <definedName name="_xlnm.Print_Titles" localSheetId="0">Sheet1!$1:$1</definedName>
  </definedNames>
  <calcPr calcId="152511" iterate="1" calcOnSave="0"/>
</workbook>
</file>

<file path=xl/calcChain.xml><?xml version="1.0" encoding="utf-8"?>
<calcChain xmlns="http://schemas.openxmlformats.org/spreadsheetml/2006/main">
  <c r="E24" i="1" l="1"/>
  <c r="G24" i="1" s="1"/>
  <c r="C23" i="1"/>
  <c r="H23" i="1" s="1"/>
  <c r="C22" i="1"/>
  <c r="H22" i="1" s="1"/>
  <c r="C21" i="1"/>
  <c r="G21" i="1" s="1"/>
  <c r="C20" i="1"/>
  <c r="G20" i="1" s="1"/>
  <c r="C19" i="1"/>
  <c r="H19" i="1" s="1"/>
  <c r="G18" i="1"/>
  <c r="H18" i="1"/>
  <c r="G17" i="1"/>
  <c r="I17" i="1" s="1"/>
  <c r="H17" i="1"/>
  <c r="C16" i="1"/>
  <c r="H16" i="1" s="1"/>
  <c r="G15" i="1"/>
  <c r="H15" i="1"/>
  <c r="G22" i="1" l="1"/>
  <c r="I15" i="1"/>
  <c r="G23" i="1"/>
  <c r="G19" i="1"/>
  <c r="I19" i="1" s="1"/>
  <c r="H21" i="1"/>
  <c r="I21" i="1" s="1"/>
  <c r="I22" i="1"/>
  <c r="I23" i="1"/>
  <c r="G16" i="1"/>
  <c r="I16" i="1" s="1"/>
  <c r="H20" i="1"/>
  <c r="I20" i="1" s="1"/>
  <c r="H24" i="1"/>
  <c r="I24" i="1" s="1"/>
  <c r="I18" i="1"/>
  <c r="H2" i="1"/>
  <c r="G2" i="1"/>
  <c r="C11" i="1"/>
  <c r="H10" i="1"/>
  <c r="G10" i="1"/>
  <c r="H9" i="1"/>
  <c r="G9" i="1"/>
  <c r="H8" i="1"/>
  <c r="G8" i="1"/>
  <c r="H7" i="1"/>
  <c r="G7" i="1"/>
  <c r="H6" i="1"/>
  <c r="G6" i="1"/>
  <c r="H14" i="1"/>
  <c r="G14" i="1"/>
  <c r="H13" i="1"/>
  <c r="G13" i="1"/>
  <c r="H12" i="1"/>
  <c r="G12" i="1"/>
  <c r="H5" i="1"/>
  <c r="G5" i="1"/>
  <c r="H4" i="1"/>
  <c r="G4" i="1"/>
  <c r="H3" i="1"/>
  <c r="G3" i="1"/>
  <c r="I2" i="1" l="1"/>
  <c r="I4" i="1"/>
  <c r="I7" i="1"/>
  <c r="I10" i="1"/>
  <c r="I5" i="1"/>
  <c r="I6" i="1"/>
  <c r="I8" i="1"/>
  <c r="I12" i="1"/>
  <c r="I13" i="1"/>
  <c r="I14" i="1"/>
  <c r="I9" i="1"/>
  <c r="I3" i="1"/>
  <c r="E11" i="1"/>
  <c r="H11" i="1" l="1"/>
  <c r="G11" i="1"/>
  <c r="F11" i="1"/>
  <c r="I11" i="1" l="1"/>
</calcChain>
</file>

<file path=xl/sharedStrings.xml><?xml version="1.0" encoding="utf-8"?>
<sst xmlns="http://schemas.openxmlformats.org/spreadsheetml/2006/main" count="163" uniqueCount="100">
  <si>
    <t>Original Cost Reference</t>
  </si>
  <si>
    <t>Updated Cost Reference</t>
  </si>
  <si>
    <t>Project</t>
  </si>
  <si>
    <t>Reason Given for Cost Increase</t>
  </si>
  <si>
    <t>Project Description</t>
  </si>
  <si>
    <t>% Increase</t>
  </si>
  <si>
    <t>RTO/ISO</t>
  </si>
  <si>
    <t>Original Cost ($M)</t>
  </si>
  <si>
    <t>Updated Cost ($M)</t>
  </si>
  <si>
    <t>Owner</t>
  </si>
  <si>
    <t>B1794</t>
  </si>
  <si>
    <t>PJM</t>
  </si>
  <si>
    <t>http://pjm.com/~/media/committees-groups/committees/teac/20160811/20160811-board-whitepaper-august-2016.ashx</t>
  </si>
  <si>
    <t>Build a new station west of Edgecombe NUG to be called Hathaway Switching Station</t>
  </si>
  <si>
    <t>Dominion</t>
  </si>
  <si>
    <t>http://www.pjm.com/planning/rtep-upgrades-status/construct-status.aspx</t>
  </si>
  <si>
    <t>B2230</t>
  </si>
  <si>
    <t>Replace existing 150 MVARreactor at Amos 765kV substation on Amos - N. Proctorville - Hanging Rock 765 kV circuit with 3 100 MVAR reactors and a spare.</t>
  </si>
  <si>
    <t>AEP</t>
  </si>
  <si>
    <t>B2505</t>
  </si>
  <si>
    <r>
      <rPr>
        <u/>
        <sz val="11"/>
        <color theme="1"/>
        <rFont val="Calibri"/>
        <family val="2"/>
        <scheme val="minor"/>
      </rPr>
      <t>PJM Whitepaper (8-2-16) -</t>
    </r>
    <r>
      <rPr>
        <sz val="11"/>
        <color theme="1"/>
        <rFont val="Calibri"/>
        <family val="2"/>
        <scheme val="minor"/>
      </rPr>
      <t xml:space="preserve"> Several factors including increased civil engineering and structure costs, increased disposal costs of the existing reactor and additional environmental remediation work resulted in an increase of approximately $26 million</t>
    </r>
  </si>
  <si>
    <r>
      <rPr>
        <u/>
        <sz val="11"/>
        <color theme="1"/>
        <rFont val="Calibri"/>
        <family val="2"/>
        <scheme val="minor"/>
      </rPr>
      <t>PJM Whitepaper (8-2-16) -</t>
    </r>
    <r>
      <rPr>
        <sz val="11"/>
        <color theme="1"/>
        <rFont val="Calibri"/>
        <family val="2"/>
        <scheme val="minor"/>
      </rPr>
      <t xml:space="preserve"> The increased costs are due to several factors including additional structure costs for the river crossing and permitting costs for FAA, Army Corps, Virginia Marine Resource Commission, and local wetland board (Lancaster and Middlesex Co) permitting</t>
    </r>
  </si>
  <si>
    <t>Install structures in river to remove the 115 kV #65 line (Whitestone - Harmony Village 115 kV) from bridge and improve reliability of the line</t>
  </si>
  <si>
    <t>B2006</t>
  </si>
  <si>
    <t>http://pjm.com/~/media/committees-groups/committees/teac/20151203/20151203-reliability-analysis-update.ashx</t>
  </si>
  <si>
    <t>PPL</t>
  </si>
  <si>
    <t>Installation of a new Lauschtown 500/230kV substation, the construction of a new 230/69kV Lauschtown substation, and the construction of a new 69/138kV transmission from Lauschtown 230/69kV sub to Brecknock and Honeybrook areas</t>
  </si>
  <si>
    <t>B2633.4</t>
  </si>
  <si>
    <t>B2633.8, B2633.6.2, B2633.6.3, B2633.6.5, B2633.7.2, B2633.7.3, B2633.8.2</t>
  </si>
  <si>
    <t>B2633.2</t>
  </si>
  <si>
    <t>– Expanded site work to accommodate SVC and New Freedom yard expansion
– Wetland mitigation, helipad relocation, storm water management, relocation of several buildings on site
– SVC Installation – Higher vendor cost estimates; incorporates PSE&amp;G design requirements
– Incorporates PSE&amp;G design standards for substation work
– Engineering study regarding specifications under way</t>
  </si>
  <si>
    <t>Access to towers, matting and environment requirements</t>
  </si>
  <si>
    <t>– New Control House at Salem and relocation of existing relays to new control house
– Addition of switchable capability of spare 500/230kV transformer
– Cost differential for work in nuclear switchyard security and access requirements</t>
  </si>
  <si>
    <t>http://pjm.com/~/media/committees-groups/committees/teac/20160310/20160310-reliability-analysis-update.ashx</t>
  </si>
  <si>
    <t>Artificial Island - Salem Expansion
– New 500kV Bay position
– New 500/230 kV transformer bank and spare single phase unit
– New 230 kV Switchyard</t>
  </si>
  <si>
    <t>Artificial Island - OPGW and relaying upgrade
– Install OPGW on 500 kV Lines - 5015, 5022, 5037, 5038
– Upgrade relaying on 500 kV Lines - 5015, 5022, 5021, 5023, 5024, 5037, 5038, 5039</t>
  </si>
  <si>
    <t>Artificial Island - Construct an SVC at New Freedom Substation
– New 500kV bay position
– New +250/-150 MVAr SVC</t>
  </si>
  <si>
    <t>PSE&amp;G</t>
  </si>
  <si>
    <t>B2186</t>
  </si>
  <si>
    <t>Cost changes reflect increase in construction costs due to equipment being relocated to allow for installation of the required 2nd transformer</t>
  </si>
  <si>
    <t>http://pjm.com/~/media/committees-groups/committees/teac/20160211/20160211-reliability-analysis-update.ashx</t>
  </si>
  <si>
    <t>Install a 2nd 230-115kV transformer at Earleys connected to the existing 115kV and 230kV ring busses. Add a 115kV breaker and 230kV breaker to the ring busses</t>
  </si>
  <si>
    <t>http://pjm.com/~/media/committees-groups/committees/teac/20150910/20150910-teac-reliability-analysis-update.ashx</t>
  </si>
  <si>
    <t>B2609</t>
  </si>
  <si>
    <t>B2354</t>
  </si>
  <si>
    <t>Install second 230/69kV transformer and 230kV circuit breaker at Churchtown substation</t>
  </si>
  <si>
    <t>AEC</t>
  </si>
  <si>
    <t>http://pjm.com/~/media/committees-groups/committees/srrtep-ma/20131104/20131104-2013-reliability-analysis-update.ashx</t>
  </si>
  <si>
    <t>S0920</t>
  </si>
  <si>
    <t>http://pjm.com/~/media/committees-groups/committees/srrtep-s/20160726/20160726-reliability-update.ashx</t>
  </si>
  <si>
    <t>Detailed cost increase includes higher real estate cost due to larger footprint needed to accommodate the breaker ring.</t>
  </si>
  <si>
    <t>Build a new switching station (Palmer Springs) at the tap serving Beechwood DP with a 115kV three breaker ring to split Line #90 and terminate the end points. Terminate the Beechwood DP tap into the ring.</t>
  </si>
  <si>
    <t>S0921</t>
  </si>
  <si>
    <t>- Network 115kV Lines #98 and #158 by splitting Line #158 between Crewe and the Jetersville tap and building a 4 breaker ring switching station (S0921.1). Double build the Jetersville tap 0.6 miles back to the new station. Double build Line #1 for 0.6 miles from Crewe back to the new station. Terminate the lines into the ring. (S0921.5)
- Network Lines #84 and 154 by expanding Pamplin Substation and building a 4 breaker ring. Terminate lines 84, 154 and the Redhouse DP tap into the ring bus. (S0921.2)
- Purchase land and build a new station in the vicinity of the taps to Gary and Nutbush delivery points (S0921.3). Install a 4 breaker ring, split line 98 and terminate into the ring. Terminate the Gary and Nutbush DP taps into the ring. Splitting the 98 line is necessary for protection. (S0921.6)
- Add a 115kV breaker at Twittys Creek. Splitting the 154 line at Twittys Creek is necessary for protection. (S0921.4)</t>
  </si>
  <si>
    <t>- Due to overruns in projects over the last 18 months, rates have increased to reflect the latest costs.
-The project affects 11 different sites including Lone Pine, Pamplin, Lunenburg, Twittys Creek, Farmville, Willis Mount, Victoria, Chase City, Crewe, Jetersville, and Fort Pickett. The work required at these substation is estimated at $24.4M.
- Considerable transmission line re-work is required at Lone Pine, Lunenburg and Pamplin which is estimated at $9.4M.</t>
  </si>
  <si>
    <t>http://pjm.com/~/media/committees-groups/committees/teac/20150107/20150107-reliability-analysis-update.ashx</t>
  </si>
  <si>
    <t>b2609.1: Install two 138 kV MOAB switches at Thorofare Creek substation
- b2609.3: Terminate the Flatwood, Kanawha and Capital Hill lines into the new Rutledge substation
- b2609.4: Establish new 138 kV tap substation on Powell Mountain - Goff Run, construct 15 miles of new 138 kV line from Thorofare Creek to the new 138 kV tap substation, establish Rutledge 138 kV substation
- b2609.5: Terminate the Powell Mountain and Goff Run lines into new substation and perform any associated relay upgrades or modifications required at Powell Mountain and Goff run to accommodate new substation</t>
  </si>
  <si>
    <t>AEP, APS, Mainly Transource</t>
  </si>
  <si>
    <t>These cost increased occurred at the 9/10/2015 TEAC. Additional cost increase occurred at the 7/26/2016 Western subcommittee due to a 10 mile 138 kV line increase driven by:
- It is subject to the approved CPCN and Joint Stipulation that modified that project component by adding 10 miles of new line to support the future enhancement of the reliability of the APCO distribution system, as ordered by the Public Service Commission of West Virginia.
- (new line will be routed to accommodate the future Walton 138 kV substation (separate project to support future distribution substation) as ordered by the Public Service Commission of West Virginia).</t>
  </si>
  <si>
    <r>
      <rPr>
        <u/>
        <sz val="11"/>
        <color theme="1"/>
        <rFont val="Calibri"/>
        <family val="2"/>
        <scheme val="minor"/>
      </rPr>
      <t>PJM Whitepaper (8-2-16)</t>
    </r>
    <r>
      <rPr>
        <sz val="11"/>
        <color theme="1"/>
        <rFont val="Calibri"/>
        <family val="2"/>
        <scheme val="minor"/>
      </rPr>
      <t xml:space="preserve"> - Expected to increase as the intended location for the new substation is not available. A new site for the substation was pursued however the cost of the project is expected to available. A new site for the substation was pursued however the cost of the project is expected to increase by $11 million to account for increased real estate costs and additional construction cost</t>
    </r>
  </si>
  <si>
    <t>b2361</t>
  </si>
  <si>
    <t>http://pjm.com/-/media/committees-groups/committees/teac/20171214/20171214-teac-board-whitepaper-december-2017.ashx</t>
  </si>
  <si>
    <t>New Idylwood to Tysons 230 kV line and new Tyson Substation</t>
  </si>
  <si>
    <t xml:space="preserve">The incumbent transmission owner has been unable to find a suitable site for the Scott’s Run station in Fairfax County. The existing ROW between Idylwood and the Dulles Toll Road is very narrow. Siting a second line the ROW is not viable and expansion of the ROW very difficult due high population density along the path. The new ROW required for overhead construction between the Dulles Toll Road and the Scott’s Run station is very difficult to acquire due to high population density and the close proximity of the highway and commuter rail lines. The modified solution recommended build 4.5 miles of new underground 230kV line from Idylwood to the Tysons station. Due to lack of land available adjacent to the Tysons station, the station will be converted to GIS and rebuilt within the existing footprint. </t>
  </si>
  <si>
    <t>b2443</t>
  </si>
  <si>
    <t>Glebe=Station C 230 kV line and Phase Angle Regulator</t>
  </si>
  <si>
    <t>Dominion / PEPCO</t>
  </si>
  <si>
    <t xml:space="preserve">Approximately 2/3 of the increase in expected cost is due to the need to use micro-tunneling installation methods rather than open trenching to install the underground line. The dense urban setting (Alexandria, VA), the need to cross a waterway, a busy railroad right of way, and National Parks Service (NPS) property are all drivers in this decision. Acquiring the necessary easements has also been more costly than expected. Also, the limited open space around the Glebe station will require more compact gas insulated switchgear (GIS) equipment, an option which was not considered in the original proposal. Finally, cost estimates for the PEPCO substation work have been refined and increased by $20M. </t>
  </si>
  <si>
    <t>http://pjm.com/-/media/committees-groups/committees/teac/20170713/20170713-teac-board-whitepaper-july-2017.ashx</t>
  </si>
  <si>
    <t>b2588</t>
  </si>
  <si>
    <t>North Bangor 115 kV Capacitor</t>
  </si>
  <si>
    <t>MedEd</t>
  </si>
  <si>
    <t xml:space="preserve">The installation of the capacitor requires reconfiguration of the North Bangor 115 kV substation, and the original estimated cost of $0.98 million did not take the substation work into consideration. </t>
  </si>
  <si>
    <t>http://pjm.com/-/media/committees-groups/committees/teac/20170209/20170209-pjm-teac-board-whitepaper-february-2017.ashx</t>
  </si>
  <si>
    <t>The cost increase stems from AEP finalizing the detailed scoping and engineering for the project. The majority of the increase is driven by the line work to connect existing lines to the new station. Additional larger structures are required due to the mountainous terrain surrounding both the Betsy Lane station and the new Stanville station site</t>
  </si>
  <si>
    <t>b2750</t>
  </si>
  <si>
    <t>Replace Betsy Land Station with Stanville Station</t>
  </si>
  <si>
    <t>b2653</t>
  </si>
  <si>
    <t>Pantego to Trowbridge 115 kV line</t>
  </si>
  <si>
    <t xml:space="preserve">The scope of the project has changed to include the increased line mileage and final routing for the Pantego – Trowbridge 115 kV circuit, which has increased from 20 miles to 22 miles with a summer emergency rating target increase from 262 MVA to 346 MVA. </t>
  </si>
  <si>
    <t>b1690</t>
  </si>
  <si>
    <t>http://pjm.com/-/media/committees-groups/committees/teac/20161215/20161215-teac-board-whitepaper-december-2016.ashx</t>
  </si>
  <si>
    <t>Aberdeen to Red Bank 230 kV</t>
  </si>
  <si>
    <t>JCPL</t>
  </si>
  <si>
    <t xml:space="preserve">The original $22 million cost estimate was a planning level estimate for a conceptual 8 mile 230 kV transmission line with an undefined route. The assumptions for the transmission line included 700’ spans (60 structures), typical concrete foundations, and minimal access road issues and did not include fully loaded costs. However, First Energy has now completed additional engineering, and was able to provide a more refined estimated cost based on specific equipment quotes and also including fully loaded costs. The preferred transmission line route, pending NJ BPU approval, is now 10.1 miles in length and routed along the NJ Transit railway. With the preferred transmission line route, it is assumed that greater than 100 structures, using shorter spans, will be needed due to the curvature of the railway corridor and transmission design requirement to help maintain conductor (minimum) clearances within the 100-foot railway corridor. Helical or micropile foundations are also now required due to the proximity of the railway tracks (a solution developed jointly with NJ Transit to avoid major ground disturbances near the railway tracks). More extensive access roads are also needed along the railway corridor, as the NJ Transit corridor in the area has very limited accessible areas to accommodate large construction vehicular traffic. The project management and construction management costs were increased as well based on recent NJ transmission projects which involve significant support to manage municipal, property owner, commercial, and environmental impacts. In addition, project costs now include associated substation work at Taylor Lane substation and 2.1 miles of 34.5kV transmission line rearrangement work required within the NJ Transit corridor. Finally, there have been added right-of-way costs for acquisition of required vegetation clearing from private property owners adjoining the railway corridor. </t>
  </si>
  <si>
    <t>b1696</t>
  </si>
  <si>
    <t>Idylwood 230 kV conversion to breaker and a half</t>
  </si>
  <si>
    <t xml:space="preserve">Dominion has provide a more detailed cost estimate which includes the additional cost due to the GIS breakers, security wall, transmission structures, labor, and permitting. Rebuilding the 230kV bus using GIS equipment was required due to space limitations and to maximize the utilization of space at Idylwood substation, ensuring that it will continue to support the regional growth while minimizing impact to the surrounding communities. </t>
  </si>
  <si>
    <t>b1792</t>
  </si>
  <si>
    <t>Rebuild Halifax-Chase City 230 kV line and Halifax station</t>
  </si>
  <si>
    <t xml:space="preserve">It was determined that the Halifax substation should not be expanded with the considering that it is located in the flood plain. The new proposed scope is to rebuild the Halifax – Chase City 230kV line, retire the existing Halifax switching station located within a flood plain, and relocate the Halifax facilities to a new Sedge Hill substation. The Sedge Hill substation will be built with a 230 kV four breaker ring and 115 kV breaker and a half scheme with seven breakers. </t>
  </si>
  <si>
    <t>b2628</t>
  </si>
  <si>
    <t>Rebuild Everetts-Voice of America 115 kV Line</t>
  </si>
  <si>
    <t>Dominion recently provided a more refined detailed cost estimate which includes additional scope suggested by stakeholders based on more detailed engineering, which has resulted in a cost increase. The new scope is to rebuild 19.1 miles of the Everetts – Leggetts Crossroads DP 115 kV portion of the line to a higher summer emergency rating of 353 MVA at 115kV. Stakeholders (ODEC and NCEMC) suggested building the line to the higher rating given the minimal incremental cost to rebuild the line to a higher rated 115kV standard (353 MVA instead of 261 MVA). Also, the last 1.75 miles section of the Leggetts Crossroad DP – Voice of America 115 kV line was removed from this project due to minimal load at Voice of America, and because there is a possibility that this line section will be removed in the future for the load to be served from the distribution system. It is important to note that the majority of the cost increases are due to the difference between the planning estimates and the refined detailed cost estimates</t>
  </si>
  <si>
    <t>Note: Second cost increase - first to add $10 MM and PAR in 2015</t>
  </si>
  <si>
    <t>b2256</t>
  </si>
  <si>
    <t>http://pjm.com/-/media/committees-groups/committees/teac/20151008/20151008-pjm-teac-board-whitepaper.ashx</t>
  </si>
  <si>
    <t>http://www.pjm.com/~/media/committees-groups/committees/srrtep-w/20130821/20130821-reliability-analysis-update.ashx</t>
  </si>
  <si>
    <t xml:space="preserve">Scope change from 20 to 36 miles increased cost to $45 MM, then… The outage of this line jeopardizes a large pocket of load, and as a result a significant amount of the rebuild is going to need to be done with the facilities energized. </t>
  </si>
  <si>
    <t>Upgrade Harrison to Ross 138 kV</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</si>
</sst>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0.0"/>
    <numFmt numFmtId="165" formatCode="_(* #,##0_);_(* \(#,##0\);_(* &quot;-&quot;??_);_(@_)"/>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Narrow"/>
      <family val="2"/>
    </font>
    <font>
      <u/>
      <sz val="11"/>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7">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9" fontId="18" fillId="0" borderId="0" applyFont="0" applyFill="0" applyBorder="0" applyAlignment="0" applyProtection="0"/>
    <xf numFmtId="0" fontId="20" fillId="0" borderId="0" applyNumberFormat="0" applyFill="0" applyBorder="0" applyAlignment="0" applyProtection="0"/>
    <xf numFmtId="43" fontId="1" fillId="0" borderId="0" applyFont="0" applyFill="0" applyBorder="0" applyAlignment="0" applyProtection="0"/>
  </cellStyleXfs>
  <cellXfs count="28">
    <xf numFmtId="0" fontId="0" fillId="0" borderId="0" xfId="0"/>
    <xf numFmtId="0" fontId="0" fillId="0" borderId="10" xfId="0" applyBorder="1" applyAlignment="1">
      <alignment horizontal="center" vertical="center" wrapText="1"/>
    </xf>
    <xf numFmtId="164" fontId="0" fillId="0" borderId="10" xfId="0" applyNumberFormat="1" applyBorder="1" applyAlignment="1">
      <alignment horizontal="center" vertical="center" wrapText="1"/>
    </xf>
    <xf numFmtId="9" fontId="0" fillId="0" borderId="10" xfId="1" applyFont="1" applyBorder="1" applyAlignment="1">
      <alignment horizontal="center" vertical="center" wrapText="1"/>
    </xf>
    <xf numFmtId="14" fontId="0" fillId="0" borderId="10" xfId="0" applyNumberFormat="1" applyBorder="1" applyAlignment="1">
      <alignment horizontal="center" vertical="center" wrapText="1"/>
    </xf>
    <xf numFmtId="0" fontId="16" fillId="33" borderId="10" xfId="0" applyFont="1" applyFill="1" applyBorder="1" applyAlignment="1">
      <alignment horizontal="center" vertical="center" wrapText="1"/>
    </xf>
    <xf numFmtId="9" fontId="16" fillId="33" borderId="10" xfId="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horizontal="center" wrapText="1"/>
    </xf>
    <xf numFmtId="0" fontId="23" fillId="0" borderId="10" xfId="0" applyFont="1" applyBorder="1" applyAlignment="1">
      <alignment horizontal="center" vertical="center" wrapText="1"/>
    </xf>
    <xf numFmtId="43" fontId="0" fillId="0" borderId="10" xfId="46" applyFont="1" applyBorder="1" applyAlignment="1">
      <alignment horizontal="center" vertical="center" wrapText="1"/>
    </xf>
    <xf numFmtId="165" fontId="0" fillId="0" borderId="10" xfId="46" applyNumberFormat="1" applyFont="1" applyBorder="1" applyAlignment="1">
      <alignment horizontal="center" vertical="center" wrapText="1"/>
    </xf>
    <xf numFmtId="165" fontId="16" fillId="33" borderId="10" xfId="46" applyNumberFormat="1" applyFont="1" applyFill="1" applyBorder="1" applyAlignment="1">
      <alignment horizontal="center" vertical="center" wrapText="1"/>
    </xf>
    <xf numFmtId="0" fontId="0" fillId="0" borderId="10" xfId="0" applyBorder="1" applyAlignment="1">
      <alignment horizontal="center" wrapText="1"/>
    </xf>
    <xf numFmtId="0" fontId="20" fillId="0" borderId="10" xfId="45" applyBorder="1" applyAlignment="1">
      <alignment horizontal="center" vertical="center" wrapText="1"/>
    </xf>
    <xf numFmtId="165" fontId="0" fillId="0" borderId="10" xfId="0" applyNumberFormat="1" applyBorder="1" applyAlignment="1">
      <alignment horizontal="center" vertical="center" wrapText="1"/>
    </xf>
    <xf numFmtId="0" fontId="0" fillId="0" borderId="10" xfId="0" applyFont="1" applyBorder="1" applyAlignment="1">
      <alignment horizontal="center" vertical="center" wrapText="1"/>
    </xf>
    <xf numFmtId="0" fontId="20" fillId="0" borderId="10" xfId="45" applyBorder="1" applyAlignment="1">
      <alignment horizontal="center" wrapText="1"/>
    </xf>
    <xf numFmtId="0" fontId="21" fillId="0" borderId="10" xfId="0" applyFont="1" applyBorder="1" applyAlignment="1">
      <alignment horizontal="center" vertical="center" wrapText="1"/>
    </xf>
    <xf numFmtId="164" fontId="20" fillId="0" borderId="10" xfId="45" applyNumberFormat="1" applyBorder="1" applyAlignment="1">
      <alignment horizontal="center" vertical="center" wrapText="1"/>
    </xf>
    <xf numFmtId="0" fontId="21" fillId="0" borderId="10" xfId="0" quotePrefix="1" applyFont="1" applyBorder="1" applyAlignment="1">
      <alignment horizontal="center" vertical="center" wrapText="1"/>
    </xf>
    <xf numFmtId="0" fontId="0" fillId="0" borderId="10" xfId="0" quotePrefix="1" applyBorder="1" applyAlignment="1">
      <alignment horizontal="center" vertical="center" wrapText="1"/>
    </xf>
    <xf numFmtId="165" fontId="0" fillId="0" borderId="10" xfId="46" applyNumberFormat="1" applyFont="1" applyBorder="1" applyAlignment="1">
      <alignment horizontal="center" wrapText="1"/>
    </xf>
    <xf numFmtId="44" fontId="0" fillId="0" borderId="10" xfId="0" applyNumberFormat="1" applyBorder="1" applyAlignment="1">
      <alignment horizontal="center" wrapText="1"/>
    </xf>
    <xf numFmtId="0" fontId="22" fillId="0" borderId="10" xfId="0" applyFont="1" applyBorder="1" applyAlignment="1">
      <alignment horizontal="center" vertical="center" wrapText="1"/>
    </xf>
    <xf numFmtId="9" fontId="0" fillId="0" borderId="10" xfId="1" applyFont="1" applyBorder="1" applyAlignment="1">
      <alignment horizontal="center" wrapText="1"/>
    </xf>
    <xf numFmtId="165" fontId="0" fillId="0" borderId="0" xfId="46" applyNumberFormat="1" applyFont="1" applyAlignment="1">
      <alignment horizontal="center" wrapText="1"/>
    </xf>
    <xf numFmtId="9" fontId="0" fillId="0" borderId="0" xfId="1" applyFont="1" applyAlignment="1">
      <alignment horizontal="center" wrapText="1"/>
    </xf>
  </cellXfs>
  <cellStyles count="47">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6"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cellStyle name="Note" xfId="16" builtinId="10" customBuiltin="1"/>
    <cellStyle name="Output" xfId="11" builtinId="21" customBuiltin="1"/>
    <cellStyle name="Percent" xfId="1" builtinId="5"/>
    <cellStyle name="Percent 2" xfId="44"/>
    <cellStyle name="Title" xfId="2" builtinId="15" customBuiltin="1"/>
    <cellStyle name="Total" xfId="18" builtinId="25" customBuiltin="1"/>
    <cellStyle name="Warning Text" xfId="15"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pjm.com/-/media/committees-groups/committees/teac/20170713/20170713-teac-board-whitepaper-july-2017.ashx" TargetMode="External"/><Relationship Id="rId13" Type="http://schemas.openxmlformats.org/officeDocument/2006/relationships/hyperlink" Target="http://pjm.com/-/media/committees-groups/committees/teac/20170209/20170209-pjm-teac-board-whitepaper-february-2017.ashx" TargetMode="External"/><Relationship Id="rId18" Type="http://schemas.openxmlformats.org/officeDocument/2006/relationships/hyperlink" Target="http://pjm.com/-/media/committees-groups/committees/teac/20161215/20161215-teac-board-whitepaper-december-2016.ashx" TargetMode="External"/><Relationship Id="rId3" Type="http://schemas.openxmlformats.org/officeDocument/2006/relationships/hyperlink" Target="http://pjm.com/~/media/committees-groups/committees/srrtep-s/20160726/20160726-reliability-update.ashx" TargetMode="External"/><Relationship Id="rId21" Type="http://schemas.openxmlformats.org/officeDocument/2006/relationships/hyperlink" Target="http://pjm.com/-/media/committees-groups/committees/teac/20161215/20161215-teac-board-whitepaper-december-2016.ashx" TargetMode="External"/><Relationship Id="rId7" Type="http://schemas.openxmlformats.org/officeDocument/2006/relationships/hyperlink" Target="http://pjm.com/-/media/committees-groups/committees/teac/20170713/20170713-teac-board-whitepaper-july-2017.ashx" TargetMode="External"/><Relationship Id="rId12" Type="http://schemas.openxmlformats.org/officeDocument/2006/relationships/hyperlink" Target="http://pjm.com/-/media/committees-groups/committees/teac/20170209/20170209-pjm-teac-board-whitepaper-february-2017.ashx" TargetMode="External"/><Relationship Id="rId17" Type="http://schemas.openxmlformats.org/officeDocument/2006/relationships/hyperlink" Target="http://pjm.com/-/media/committees-groups/committees/teac/20161215/20161215-teac-board-whitepaper-december-2016.ashx" TargetMode="External"/><Relationship Id="rId2" Type="http://schemas.openxmlformats.org/officeDocument/2006/relationships/hyperlink" Target="http://pjm.com/~/media/committees-groups/committees/teac/20160811/20160811-board-whitepaper-august-2016.ashx" TargetMode="External"/><Relationship Id="rId16" Type="http://schemas.openxmlformats.org/officeDocument/2006/relationships/hyperlink" Target="http://pjm.com/-/media/committees-groups/committees/teac/20161215/20161215-teac-board-whitepaper-december-2016.ashx" TargetMode="External"/><Relationship Id="rId20" Type="http://schemas.openxmlformats.org/officeDocument/2006/relationships/hyperlink" Target="http://pjm.com/-/media/committees-groups/committees/teac/20161215/20161215-teac-board-whitepaper-december-2016.ashx" TargetMode="External"/><Relationship Id="rId1" Type="http://schemas.openxmlformats.org/officeDocument/2006/relationships/hyperlink" Target="http://pjm.com/~/media/committees-groups/committees/teac/20160811/20160811-board-whitepaper-august-2016.ashx" TargetMode="External"/><Relationship Id="rId6" Type="http://schemas.openxmlformats.org/officeDocument/2006/relationships/hyperlink" Target="http://pjm.com/-/media/committees-groups/committees/teac/20171214/20171214-teac-board-whitepaper-december-2017.ashx" TargetMode="External"/><Relationship Id="rId11" Type="http://schemas.openxmlformats.org/officeDocument/2006/relationships/hyperlink" Target="http://pjm.com/-/media/committees-groups/committees/teac/20170209/20170209-pjm-teac-board-whitepaper-february-2017.ashx" TargetMode="External"/><Relationship Id="rId24" Type="http://schemas.openxmlformats.org/officeDocument/2006/relationships/printerSettings" Target="../printerSettings/printerSettings1.bin"/><Relationship Id="rId5" Type="http://schemas.openxmlformats.org/officeDocument/2006/relationships/hyperlink" Target="http://pjm.com/-/media/committees-groups/committees/teac/20171214/20171214-teac-board-whitepaper-december-2017.ashx" TargetMode="External"/><Relationship Id="rId15" Type="http://schemas.openxmlformats.org/officeDocument/2006/relationships/hyperlink" Target="http://pjm.com/-/media/committees-groups/committees/teac/20161215/20161215-teac-board-whitepaper-december-2016.ashx" TargetMode="External"/><Relationship Id="rId23" Type="http://schemas.openxmlformats.org/officeDocument/2006/relationships/hyperlink" Target="http://pjm.com/-/media/committees-groups/committees/teac/20151008/20151008-pjm-teac-board-whitepaper.ashx" TargetMode="External"/><Relationship Id="rId10" Type="http://schemas.openxmlformats.org/officeDocument/2006/relationships/hyperlink" Target="http://pjm.com/-/media/committees-groups/committees/teac/20170209/20170209-pjm-teac-board-whitepaper-february-2017.ashx" TargetMode="External"/><Relationship Id="rId19" Type="http://schemas.openxmlformats.org/officeDocument/2006/relationships/hyperlink" Target="http://pjm.com/-/media/committees-groups/committees/teac/20161215/20161215-teac-board-whitepaper-december-2016.ashx" TargetMode="External"/><Relationship Id="rId4" Type="http://schemas.openxmlformats.org/officeDocument/2006/relationships/hyperlink" Target="http://pjm.com/~/media/committees-groups/committees/teac/20160811/20160811-board-whitepaper-august-2016.ashx" TargetMode="External"/><Relationship Id="rId9" Type="http://schemas.openxmlformats.org/officeDocument/2006/relationships/hyperlink" Target="http://pjm.com/-/media/committees-groups/committees/teac/20170209/20170209-pjm-teac-board-whitepaper-february-2017.ashx" TargetMode="External"/><Relationship Id="rId14" Type="http://schemas.openxmlformats.org/officeDocument/2006/relationships/hyperlink" Target="http://pjm.com/-/media/committees-groups/committees/teac/20170209/20170209-pjm-teac-board-whitepaper-february-2017.ashx" TargetMode="External"/><Relationship Id="rId22" Type="http://schemas.openxmlformats.org/officeDocument/2006/relationships/hyperlink" Target="http://pjm.com/-/media/committees-groups/committees/teac/20161215/20161215-teac-board-whitepaper-december-2016.as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tabSelected="1" zoomScale="60" zoomScaleNormal="60" zoomScalePageLayoutView="53" workbookViewId="0">
      <pane ySplit="1" topLeftCell="A2" activePane="bottomLeft" state="frozen"/>
      <selection pane="bottomLeft" activeCell="D2" sqref="D2"/>
    </sheetView>
  </sheetViews>
  <sheetFormatPr defaultColWidth="10.453125" defaultRowHeight="14.5" x14ac:dyDescent="0.35"/>
  <cols>
    <col min="1" max="1" width="8.81640625" style="8" customWidth="1"/>
    <col min="2" max="2" width="11.26953125" style="8" customWidth="1"/>
    <col min="3" max="3" width="15" style="26" customWidth="1"/>
    <col min="4" max="4" width="25.54296875" style="8" customWidth="1"/>
    <col min="5" max="5" width="14.453125" style="26" customWidth="1"/>
    <col min="6" max="6" width="22.1796875" style="8" customWidth="1"/>
    <col min="7" max="7" width="12.26953125" style="8" customWidth="1"/>
    <col min="8" max="9" width="9" style="27" customWidth="1"/>
    <col min="10" max="10" width="18.7265625" style="8" customWidth="1"/>
    <col min="11" max="11" width="10.453125" style="8"/>
    <col min="12" max="12" width="51.36328125" style="8" customWidth="1"/>
    <col min="13" max="16384" width="10.453125" style="8"/>
  </cols>
  <sheetData>
    <row r="1" spans="1:13" ht="48.75" customHeight="1" x14ac:dyDescent="0.35">
      <c r="A1" s="5" t="s">
        <v>6</v>
      </c>
      <c r="B1" s="5" t="s">
        <v>2</v>
      </c>
      <c r="C1" s="12" t="s">
        <v>7</v>
      </c>
      <c r="D1" s="5" t="s">
        <v>0</v>
      </c>
      <c r="E1" s="12" t="s">
        <v>8</v>
      </c>
      <c r="F1" s="5" t="s">
        <v>1</v>
      </c>
      <c r="G1" s="5"/>
      <c r="H1" s="6" t="s">
        <v>5</v>
      </c>
      <c r="I1" s="6"/>
      <c r="J1" s="5" t="s">
        <v>4</v>
      </c>
      <c r="K1" s="5" t="s">
        <v>9</v>
      </c>
      <c r="L1" s="5" t="s">
        <v>3</v>
      </c>
    </row>
    <row r="2" spans="1:13" ht="200.15" customHeight="1" x14ac:dyDescent="0.35">
      <c r="A2" s="1" t="s">
        <v>11</v>
      </c>
      <c r="B2" s="1" t="s">
        <v>10</v>
      </c>
      <c r="C2" s="11">
        <v>8</v>
      </c>
      <c r="D2" s="14" t="s">
        <v>12</v>
      </c>
      <c r="E2" s="11">
        <v>20.8</v>
      </c>
      <c r="F2" s="1" t="s">
        <v>15</v>
      </c>
      <c r="G2" s="15">
        <f t="shared" ref="G2" si="0">E2-C2</f>
        <v>12.8</v>
      </c>
      <c r="H2" s="3">
        <f t="shared" ref="H2" si="1">(E2-C2)/C2</f>
        <v>1.6</v>
      </c>
      <c r="I2" s="10" t="str">
        <f t="shared" ref="I2" si="2">ROUND(G2,0)&amp;" ("&amp;ROUND(H2*100,0)&amp;"%)"</f>
        <v>13 (160%)</v>
      </c>
      <c r="J2" s="1" t="s">
        <v>13</v>
      </c>
      <c r="K2" s="7" t="s">
        <v>14</v>
      </c>
      <c r="L2" s="16" t="s">
        <v>59</v>
      </c>
    </row>
    <row r="3" spans="1:13" ht="200.15" customHeight="1" x14ac:dyDescent="0.35">
      <c r="A3" s="1" t="s">
        <v>11</v>
      </c>
      <c r="B3" s="1" t="s">
        <v>16</v>
      </c>
      <c r="C3" s="11">
        <v>5</v>
      </c>
      <c r="D3" s="14" t="s">
        <v>12</v>
      </c>
      <c r="E3" s="11">
        <v>31</v>
      </c>
      <c r="F3" s="14" t="s">
        <v>12</v>
      </c>
      <c r="G3" s="15">
        <f t="shared" ref="G3:G11" si="3">E3-C3</f>
        <v>26</v>
      </c>
      <c r="H3" s="3">
        <f t="shared" ref="H3:H11" si="4">(E3-C3)/C3</f>
        <v>5.2</v>
      </c>
      <c r="I3" s="10" t="str">
        <f t="shared" ref="I3:I11" si="5">ROUND(G3,0)&amp;" ("&amp;ROUND(H3*100,0)&amp;"%)"</f>
        <v>26 (520%)</v>
      </c>
      <c r="J3" s="1" t="s">
        <v>17</v>
      </c>
      <c r="K3" s="7" t="s">
        <v>18</v>
      </c>
      <c r="L3" s="1" t="s">
        <v>20</v>
      </c>
    </row>
    <row r="4" spans="1:13" ht="200.15" customHeight="1" x14ac:dyDescent="0.35">
      <c r="A4" s="1" t="s">
        <v>11</v>
      </c>
      <c r="B4" s="1" t="s">
        <v>19</v>
      </c>
      <c r="C4" s="11">
        <v>10</v>
      </c>
      <c r="D4" s="1" t="s">
        <v>12</v>
      </c>
      <c r="E4" s="11">
        <v>30</v>
      </c>
      <c r="F4" s="1" t="s">
        <v>12</v>
      </c>
      <c r="G4" s="15">
        <f t="shared" si="3"/>
        <v>20</v>
      </c>
      <c r="H4" s="3">
        <f t="shared" si="4"/>
        <v>2</v>
      </c>
      <c r="I4" s="10" t="str">
        <f t="shared" si="5"/>
        <v>20 (200%)</v>
      </c>
      <c r="J4" s="1" t="s">
        <v>22</v>
      </c>
      <c r="K4" s="7" t="s">
        <v>14</v>
      </c>
      <c r="L4" s="1" t="s">
        <v>21</v>
      </c>
    </row>
    <row r="5" spans="1:13" ht="200.15" customHeight="1" x14ac:dyDescent="0.35">
      <c r="A5" s="1" t="s">
        <v>11</v>
      </c>
      <c r="B5" s="1" t="s">
        <v>23</v>
      </c>
      <c r="C5" s="11">
        <v>86.5</v>
      </c>
      <c r="D5" s="1" t="s">
        <v>24</v>
      </c>
      <c r="E5" s="11">
        <v>108.2</v>
      </c>
      <c r="F5" s="1" t="s">
        <v>15</v>
      </c>
      <c r="G5" s="15">
        <f t="shared" si="3"/>
        <v>21.700000000000003</v>
      </c>
      <c r="H5" s="3">
        <f t="shared" si="4"/>
        <v>0.25086705202312143</v>
      </c>
      <c r="I5" s="10" t="str">
        <f t="shared" si="5"/>
        <v>22 (25%)</v>
      </c>
      <c r="J5" s="9" t="s">
        <v>26</v>
      </c>
      <c r="K5" s="7" t="s">
        <v>25</v>
      </c>
      <c r="L5" s="1"/>
    </row>
    <row r="6" spans="1:13" ht="200.15" customHeight="1" x14ac:dyDescent="0.35">
      <c r="A6" s="1" t="s">
        <v>11</v>
      </c>
      <c r="B6" s="1" t="s">
        <v>38</v>
      </c>
      <c r="C6" s="11">
        <v>6</v>
      </c>
      <c r="D6" s="1" t="s">
        <v>40</v>
      </c>
      <c r="E6" s="11">
        <v>11.5</v>
      </c>
      <c r="F6" s="1" t="s">
        <v>40</v>
      </c>
      <c r="G6" s="15">
        <f t="shared" si="3"/>
        <v>5.5</v>
      </c>
      <c r="H6" s="3">
        <f t="shared" si="4"/>
        <v>0.91666666666666663</v>
      </c>
      <c r="I6" s="10" t="str">
        <f t="shared" si="5"/>
        <v>6 (92%)</v>
      </c>
      <c r="J6" s="1" t="s">
        <v>41</v>
      </c>
      <c r="K6" s="7" t="s">
        <v>14</v>
      </c>
      <c r="L6" s="1" t="s">
        <v>39</v>
      </c>
    </row>
    <row r="7" spans="1:13" ht="200.15" customHeight="1" x14ac:dyDescent="0.35">
      <c r="A7" s="1" t="s">
        <v>11</v>
      </c>
      <c r="B7" s="1" t="s">
        <v>43</v>
      </c>
      <c r="C7" s="11">
        <v>53</v>
      </c>
      <c r="D7" s="1" t="s">
        <v>55</v>
      </c>
      <c r="E7" s="11">
        <v>62.6</v>
      </c>
      <c r="F7" s="1" t="s">
        <v>42</v>
      </c>
      <c r="G7" s="15">
        <f t="shared" si="3"/>
        <v>9.6000000000000014</v>
      </c>
      <c r="H7" s="3">
        <f t="shared" si="4"/>
        <v>0.18113207547169813</v>
      </c>
      <c r="I7" s="10" t="str">
        <f t="shared" si="5"/>
        <v>10 (18%)</v>
      </c>
      <c r="J7" s="18" t="s">
        <v>56</v>
      </c>
      <c r="K7" s="7" t="s">
        <v>57</v>
      </c>
      <c r="L7" s="9" t="s">
        <v>58</v>
      </c>
    </row>
    <row r="8" spans="1:13" ht="200.15" customHeight="1" x14ac:dyDescent="0.35">
      <c r="A8" s="1" t="s">
        <v>11</v>
      </c>
      <c r="B8" s="1" t="s">
        <v>44</v>
      </c>
      <c r="C8" s="11">
        <v>3.5</v>
      </c>
      <c r="D8" s="4" t="s">
        <v>47</v>
      </c>
      <c r="E8" s="11">
        <v>8.6</v>
      </c>
      <c r="F8" s="1" t="s">
        <v>47</v>
      </c>
      <c r="G8" s="15">
        <f t="shared" si="3"/>
        <v>5.0999999999999996</v>
      </c>
      <c r="H8" s="3">
        <f t="shared" si="4"/>
        <v>1.4571428571428571</v>
      </c>
      <c r="I8" s="10" t="str">
        <f t="shared" si="5"/>
        <v>5 (146%)</v>
      </c>
      <c r="J8" s="1" t="s">
        <v>45</v>
      </c>
      <c r="K8" s="7" t="s">
        <v>46</v>
      </c>
      <c r="L8" s="1"/>
    </row>
    <row r="9" spans="1:13" ht="200.15" customHeight="1" x14ac:dyDescent="0.35">
      <c r="A9" s="1" t="s">
        <v>11</v>
      </c>
      <c r="B9" s="1" t="s">
        <v>48</v>
      </c>
      <c r="C9" s="11">
        <v>4</v>
      </c>
      <c r="D9" s="1" t="s">
        <v>49</v>
      </c>
      <c r="E9" s="11">
        <v>5.9</v>
      </c>
      <c r="F9" s="1" t="s">
        <v>49</v>
      </c>
      <c r="G9" s="15">
        <f t="shared" si="3"/>
        <v>1.9000000000000004</v>
      </c>
      <c r="H9" s="3">
        <f t="shared" si="4"/>
        <v>0.47500000000000009</v>
      </c>
      <c r="I9" s="10" t="str">
        <f t="shared" si="5"/>
        <v>2 (48%)</v>
      </c>
      <c r="J9" s="1" t="s">
        <v>51</v>
      </c>
      <c r="K9" s="7" t="s">
        <v>14</v>
      </c>
      <c r="L9" s="1" t="s">
        <v>50</v>
      </c>
    </row>
    <row r="10" spans="1:13" ht="200.15" customHeight="1" x14ac:dyDescent="0.35">
      <c r="A10" s="1" t="s">
        <v>11</v>
      </c>
      <c r="B10" s="1" t="s">
        <v>52</v>
      </c>
      <c r="C10" s="11">
        <v>25</v>
      </c>
      <c r="D10" s="2" t="s">
        <v>49</v>
      </c>
      <c r="E10" s="11">
        <v>33.799999999999997</v>
      </c>
      <c r="F10" s="19" t="s">
        <v>49</v>
      </c>
      <c r="G10" s="15">
        <f t="shared" si="3"/>
        <v>8.7999999999999972</v>
      </c>
      <c r="H10" s="3">
        <f t="shared" si="4"/>
        <v>0.35199999999999987</v>
      </c>
      <c r="I10" s="10" t="str">
        <f t="shared" si="5"/>
        <v>9 (35%)</v>
      </c>
      <c r="J10" s="20" t="s">
        <v>53</v>
      </c>
      <c r="K10" s="7" t="s">
        <v>14</v>
      </c>
      <c r="L10" s="21" t="s">
        <v>54</v>
      </c>
    </row>
    <row r="11" spans="1:13" ht="29" x14ac:dyDescent="0.35">
      <c r="A11" s="1" t="s">
        <v>11</v>
      </c>
      <c r="B11" s="13"/>
      <c r="C11" s="22">
        <f>SUM(C2:C10)</f>
        <v>201</v>
      </c>
      <c r="D11" s="13"/>
      <c r="E11" s="22">
        <f>SUM(E2:E10)</f>
        <v>312.40000000000003</v>
      </c>
      <c r="F11" s="23">
        <f>E11-C11</f>
        <v>111.40000000000003</v>
      </c>
      <c r="G11" s="15">
        <f t="shared" si="3"/>
        <v>111.40000000000003</v>
      </c>
      <c r="H11" s="3">
        <f t="shared" si="4"/>
        <v>0.55422885572139324</v>
      </c>
      <c r="I11" s="10" t="str">
        <f t="shared" si="5"/>
        <v>111 (55%)</v>
      </c>
      <c r="J11" s="13"/>
      <c r="K11" s="13"/>
      <c r="L11" s="13"/>
    </row>
    <row r="12" spans="1:13" ht="200.15" customHeight="1" x14ac:dyDescent="0.35">
      <c r="A12" s="1" t="s">
        <v>11</v>
      </c>
      <c r="B12" s="1" t="s">
        <v>27</v>
      </c>
      <c r="C12" s="11">
        <v>38</v>
      </c>
      <c r="D12" s="1" t="s">
        <v>33</v>
      </c>
      <c r="E12" s="11">
        <v>81.099999999999994</v>
      </c>
      <c r="F12" s="1" t="s">
        <v>33</v>
      </c>
      <c r="G12" s="15">
        <f t="shared" ref="G12:G24" si="6">E12-C12</f>
        <v>43.099999999999994</v>
      </c>
      <c r="H12" s="3">
        <f t="shared" ref="H12:H24" si="7">(E12-C12)/C12</f>
        <v>1.1342105263157893</v>
      </c>
      <c r="I12" s="10" t="str">
        <f t="shared" ref="I12:I24" si="8">ROUND(G12,0)&amp;" ("&amp;ROUND(H12*100,0)&amp;"%)"</f>
        <v>43 (113%)</v>
      </c>
      <c r="J12" s="1" t="s">
        <v>36</v>
      </c>
      <c r="K12" s="7" t="s">
        <v>37</v>
      </c>
      <c r="L12" s="24" t="s">
        <v>30</v>
      </c>
    </row>
    <row r="13" spans="1:13" ht="200.15" customHeight="1" x14ac:dyDescent="0.35">
      <c r="A13" s="1" t="s">
        <v>11</v>
      </c>
      <c r="B13" s="1" t="s">
        <v>28</v>
      </c>
      <c r="C13" s="11">
        <v>25</v>
      </c>
      <c r="D13" s="1" t="s">
        <v>33</v>
      </c>
      <c r="E13" s="11">
        <v>39</v>
      </c>
      <c r="F13" s="1" t="s">
        <v>33</v>
      </c>
      <c r="G13" s="15">
        <f t="shared" si="6"/>
        <v>14</v>
      </c>
      <c r="H13" s="3">
        <f t="shared" si="7"/>
        <v>0.56000000000000005</v>
      </c>
      <c r="I13" s="10" t="str">
        <f t="shared" si="8"/>
        <v>14 (56%)</v>
      </c>
      <c r="J13" s="1" t="s">
        <v>35</v>
      </c>
      <c r="K13" s="7" t="s">
        <v>37</v>
      </c>
      <c r="L13" s="1" t="s">
        <v>31</v>
      </c>
    </row>
    <row r="14" spans="1:13" ht="200.15" customHeight="1" x14ac:dyDescent="0.35">
      <c r="A14" s="1" t="s">
        <v>11</v>
      </c>
      <c r="B14" s="1" t="s">
        <v>29</v>
      </c>
      <c r="C14" s="11">
        <v>74</v>
      </c>
      <c r="D14" s="1" t="s">
        <v>33</v>
      </c>
      <c r="E14" s="11">
        <v>152.19999999999999</v>
      </c>
      <c r="F14" s="1" t="s">
        <v>33</v>
      </c>
      <c r="G14" s="15">
        <f t="shared" si="6"/>
        <v>78.199999999999989</v>
      </c>
      <c r="H14" s="3">
        <f t="shared" si="7"/>
        <v>1.0567567567567566</v>
      </c>
      <c r="I14" s="10" t="str">
        <f t="shared" si="8"/>
        <v>78 (106%)</v>
      </c>
      <c r="J14" s="1" t="s">
        <v>34</v>
      </c>
      <c r="K14" s="7" t="s">
        <v>37</v>
      </c>
      <c r="L14" s="16" t="s">
        <v>32</v>
      </c>
    </row>
    <row r="15" spans="1:13" ht="217.5" x14ac:dyDescent="0.35">
      <c r="A15" s="1" t="s">
        <v>11</v>
      </c>
      <c r="B15" s="13" t="s">
        <v>60</v>
      </c>
      <c r="C15" s="22">
        <v>32</v>
      </c>
      <c r="D15" s="14" t="s">
        <v>61</v>
      </c>
      <c r="E15" s="22">
        <v>111.7</v>
      </c>
      <c r="F15" s="14" t="s">
        <v>61</v>
      </c>
      <c r="G15" s="13">
        <f t="shared" si="6"/>
        <v>79.7</v>
      </c>
      <c r="H15" s="25">
        <f t="shared" si="7"/>
        <v>2.4906250000000001</v>
      </c>
      <c r="I15" s="25" t="str">
        <f t="shared" si="8"/>
        <v>80 (249%)</v>
      </c>
      <c r="J15" s="13" t="s">
        <v>62</v>
      </c>
      <c r="K15" s="13"/>
      <c r="L15" s="13" t="s">
        <v>63</v>
      </c>
    </row>
    <row r="16" spans="1:13" ht="188.5" x14ac:dyDescent="0.35">
      <c r="A16" s="1" t="s">
        <v>11</v>
      </c>
      <c r="B16" s="13" t="s">
        <v>64</v>
      </c>
      <c r="C16" s="22">
        <f>299-133</f>
        <v>166</v>
      </c>
      <c r="D16" s="17" t="s">
        <v>68</v>
      </c>
      <c r="E16" s="22">
        <v>299</v>
      </c>
      <c r="F16" s="17" t="s">
        <v>68</v>
      </c>
      <c r="G16" s="13">
        <f t="shared" si="6"/>
        <v>133</v>
      </c>
      <c r="H16" s="25">
        <f t="shared" si="7"/>
        <v>0.8012048192771084</v>
      </c>
      <c r="I16" s="10" t="str">
        <f t="shared" si="8"/>
        <v>133 (80%)</v>
      </c>
      <c r="J16" s="13" t="s">
        <v>65</v>
      </c>
      <c r="K16" s="13" t="s">
        <v>66</v>
      </c>
      <c r="L16" s="13" t="s">
        <v>67</v>
      </c>
      <c r="M16" s="8" t="s">
        <v>94</v>
      </c>
    </row>
    <row r="17" spans="1:12" ht="101.5" x14ac:dyDescent="0.35">
      <c r="A17" s="1" t="s">
        <v>11</v>
      </c>
      <c r="B17" s="13" t="s">
        <v>69</v>
      </c>
      <c r="C17" s="22">
        <v>0.98</v>
      </c>
      <c r="D17" s="14" t="s">
        <v>73</v>
      </c>
      <c r="E17" s="22">
        <v>6.5</v>
      </c>
      <c r="F17" s="14" t="s">
        <v>73</v>
      </c>
      <c r="G17" s="13">
        <f t="shared" si="6"/>
        <v>5.52</v>
      </c>
      <c r="H17" s="25">
        <f t="shared" si="7"/>
        <v>5.6326530612244898</v>
      </c>
      <c r="I17" s="10" t="str">
        <f t="shared" si="8"/>
        <v>6 (563%)</v>
      </c>
      <c r="J17" s="13" t="s">
        <v>70</v>
      </c>
      <c r="K17" s="13" t="s">
        <v>71</v>
      </c>
      <c r="L17" s="13" t="s">
        <v>72</v>
      </c>
    </row>
    <row r="18" spans="1:12" ht="101.5" x14ac:dyDescent="0.35">
      <c r="A18" s="1" t="s">
        <v>11</v>
      </c>
      <c r="B18" s="13" t="s">
        <v>75</v>
      </c>
      <c r="C18" s="22">
        <v>14</v>
      </c>
      <c r="D18" s="14" t="s">
        <v>73</v>
      </c>
      <c r="E18" s="22">
        <v>28.1</v>
      </c>
      <c r="F18" s="14" t="s">
        <v>73</v>
      </c>
      <c r="G18" s="13">
        <f t="shared" si="6"/>
        <v>14.100000000000001</v>
      </c>
      <c r="H18" s="25">
        <f t="shared" si="7"/>
        <v>1.0071428571428573</v>
      </c>
      <c r="I18" s="25" t="str">
        <f t="shared" si="8"/>
        <v>14 (101%)</v>
      </c>
      <c r="J18" s="13" t="s">
        <v>76</v>
      </c>
      <c r="K18" s="13" t="s">
        <v>18</v>
      </c>
      <c r="L18" s="13" t="s">
        <v>74</v>
      </c>
    </row>
    <row r="19" spans="1:12" ht="101.5" x14ac:dyDescent="0.35">
      <c r="A19" s="1" t="s">
        <v>11</v>
      </c>
      <c r="B19" s="13" t="s">
        <v>77</v>
      </c>
      <c r="C19" s="22">
        <f>E19-9.2</f>
        <v>35.400000000000006</v>
      </c>
      <c r="D19" s="14" t="s">
        <v>73</v>
      </c>
      <c r="E19" s="22">
        <v>44.6</v>
      </c>
      <c r="F19" s="14" t="s">
        <v>73</v>
      </c>
      <c r="G19" s="13">
        <f t="shared" si="6"/>
        <v>9.1999999999999957</v>
      </c>
      <c r="H19" s="25">
        <f t="shared" si="7"/>
        <v>0.25988700564971734</v>
      </c>
      <c r="I19" s="25" t="str">
        <f t="shared" si="8"/>
        <v>9 (26%)</v>
      </c>
      <c r="J19" s="13" t="s">
        <v>78</v>
      </c>
      <c r="K19" s="13" t="s">
        <v>14</v>
      </c>
      <c r="L19" s="13" t="s">
        <v>79</v>
      </c>
    </row>
    <row r="20" spans="1:12" ht="409.5" x14ac:dyDescent="0.35">
      <c r="A20" s="1" t="s">
        <v>11</v>
      </c>
      <c r="B20" s="13" t="s">
        <v>80</v>
      </c>
      <c r="C20" s="22">
        <f>111-89</f>
        <v>22</v>
      </c>
      <c r="D20" s="14" t="s">
        <v>81</v>
      </c>
      <c r="E20" s="22">
        <v>111</v>
      </c>
      <c r="F20" s="14" t="s">
        <v>81</v>
      </c>
      <c r="G20" s="13">
        <f t="shared" si="6"/>
        <v>89</v>
      </c>
      <c r="H20" s="25">
        <f t="shared" si="7"/>
        <v>4.0454545454545459</v>
      </c>
      <c r="I20" s="25" t="str">
        <f t="shared" si="8"/>
        <v>89 (405%)</v>
      </c>
      <c r="J20" s="13" t="s">
        <v>82</v>
      </c>
      <c r="K20" s="13" t="s">
        <v>83</v>
      </c>
      <c r="L20" s="13" t="s">
        <v>84</v>
      </c>
    </row>
    <row r="21" spans="1:12" ht="116" x14ac:dyDescent="0.35">
      <c r="A21" s="1" t="s">
        <v>11</v>
      </c>
      <c r="B21" s="13" t="s">
        <v>85</v>
      </c>
      <c r="C21" s="22">
        <f>80-68</f>
        <v>12</v>
      </c>
      <c r="D21" s="14" t="s">
        <v>81</v>
      </c>
      <c r="E21" s="22">
        <v>80</v>
      </c>
      <c r="F21" s="14" t="s">
        <v>81</v>
      </c>
      <c r="G21" s="13">
        <f t="shared" si="6"/>
        <v>68</v>
      </c>
      <c r="H21" s="25">
        <f t="shared" si="7"/>
        <v>5.666666666666667</v>
      </c>
      <c r="I21" s="25" t="str">
        <f t="shared" si="8"/>
        <v>68 (567%)</v>
      </c>
      <c r="J21" s="13" t="s">
        <v>86</v>
      </c>
      <c r="K21" s="13" t="s">
        <v>14</v>
      </c>
      <c r="L21" s="13" t="s">
        <v>87</v>
      </c>
    </row>
    <row r="22" spans="1:12" ht="116" x14ac:dyDescent="0.35">
      <c r="A22" s="1" t="s">
        <v>11</v>
      </c>
      <c r="B22" s="13" t="s">
        <v>88</v>
      </c>
      <c r="C22" s="22">
        <f>50.2-24.2</f>
        <v>26.000000000000004</v>
      </c>
      <c r="D22" s="14" t="s">
        <v>81</v>
      </c>
      <c r="E22" s="22">
        <v>50.2</v>
      </c>
      <c r="F22" s="14" t="s">
        <v>81</v>
      </c>
      <c r="G22" s="13">
        <f t="shared" si="6"/>
        <v>24.2</v>
      </c>
      <c r="H22" s="25">
        <f t="shared" si="7"/>
        <v>0.93076923076923057</v>
      </c>
      <c r="I22" s="25" t="str">
        <f t="shared" si="8"/>
        <v>24 (93%)</v>
      </c>
      <c r="J22" s="13" t="s">
        <v>89</v>
      </c>
      <c r="K22" s="13" t="s">
        <v>14</v>
      </c>
      <c r="L22" s="13" t="s">
        <v>90</v>
      </c>
    </row>
    <row r="23" spans="1:12" ht="261" x14ac:dyDescent="0.35">
      <c r="A23" s="1" t="s">
        <v>11</v>
      </c>
      <c r="B23" s="13" t="s">
        <v>91</v>
      </c>
      <c r="C23" s="22">
        <f>32.1-8.1</f>
        <v>24</v>
      </c>
      <c r="D23" s="14" t="s">
        <v>81</v>
      </c>
      <c r="E23" s="22">
        <v>32.1</v>
      </c>
      <c r="F23" s="14" t="s">
        <v>81</v>
      </c>
      <c r="G23" s="13">
        <f t="shared" si="6"/>
        <v>8.1000000000000014</v>
      </c>
      <c r="H23" s="25">
        <f t="shared" si="7"/>
        <v>0.33750000000000008</v>
      </c>
      <c r="I23" s="25" t="str">
        <f t="shared" si="8"/>
        <v>8 (34%)</v>
      </c>
      <c r="J23" s="13" t="s">
        <v>92</v>
      </c>
      <c r="K23" s="13" t="s">
        <v>14</v>
      </c>
      <c r="L23" s="13" t="s">
        <v>93</v>
      </c>
    </row>
    <row r="24" spans="1:12" ht="87" x14ac:dyDescent="0.35">
      <c r="A24" s="1" t="s">
        <v>11</v>
      </c>
      <c r="B24" s="13" t="s">
        <v>95</v>
      </c>
      <c r="C24" s="22">
        <v>40.5</v>
      </c>
      <c r="D24" s="13" t="s">
        <v>97</v>
      </c>
      <c r="E24" s="22">
        <f>45+89.5</f>
        <v>134.5</v>
      </c>
      <c r="F24" s="14" t="s">
        <v>96</v>
      </c>
      <c r="G24" s="13">
        <f t="shared" si="6"/>
        <v>94</v>
      </c>
      <c r="H24" s="25">
        <f t="shared" si="7"/>
        <v>2.3209876543209877</v>
      </c>
      <c r="I24" s="25" t="str">
        <f t="shared" si="8"/>
        <v>94 (232%)</v>
      </c>
      <c r="J24" s="13" t="s">
        <v>99</v>
      </c>
      <c r="K24" s="13" t="s">
        <v>18</v>
      </c>
      <c r="L24" s="13" t="s">
        <v>98</v>
      </c>
    </row>
  </sheetData>
  <conditionalFormatting sqref="B1:B1048576">
    <cfRule type="duplicateValues" dxfId="0" priority="24"/>
  </conditionalFormatting>
  <hyperlinks>
    <hyperlink ref="D3" r:id="rId1"/>
    <hyperlink ref="D2" r:id="rId2"/>
    <hyperlink ref="F10" r:id="rId3"/>
    <hyperlink ref="F3" r:id="rId4"/>
    <hyperlink ref="D15" r:id="rId5"/>
    <hyperlink ref="F15" r:id="rId6"/>
    <hyperlink ref="D16" r:id="rId7"/>
    <hyperlink ref="F16" r:id="rId8"/>
    <hyperlink ref="D17" r:id="rId9"/>
    <hyperlink ref="F17" r:id="rId10"/>
    <hyperlink ref="D18" r:id="rId11"/>
    <hyperlink ref="F18" r:id="rId12"/>
    <hyperlink ref="D19" r:id="rId13"/>
    <hyperlink ref="F19" r:id="rId14"/>
    <hyperlink ref="D20" r:id="rId15"/>
    <hyperlink ref="F20" r:id="rId16"/>
    <hyperlink ref="F21" r:id="rId17"/>
    <hyperlink ref="D21" r:id="rId18"/>
    <hyperlink ref="D22" r:id="rId19"/>
    <hyperlink ref="F22" r:id="rId20"/>
    <hyperlink ref="D23" r:id="rId21"/>
    <hyperlink ref="F23" r:id="rId22"/>
    <hyperlink ref="F24" r:id="rId23"/>
  </hyperlinks>
  <pageMargins left="0.25" right="0.25" top="0.75" bottom="0.75" header="0.3" footer="0.3"/>
  <pageSetup paperSize="5" scale="81" fitToHeight="0" orientation="landscape" r:id="rId24"/>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LSP</dc:creator>
  <cp:lastModifiedBy>Sharon Segner</cp:lastModifiedBy>
  <cp:lastPrinted>2016-11-18T20:13:39Z</cp:lastPrinted>
  <dcterms:created xsi:type="dcterms:W3CDTF">2016-09-22T18:56:55Z</dcterms:created>
  <dcterms:modified xsi:type="dcterms:W3CDTF">2018-03-13T14:35:49Z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{9E3CDFBB-DD08-496D-AA73-B4C6B8D726B1}</vt:lpwstr>
  </property>
</Properties>
</file>